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FILES\My Documents\0_PERSONAL\CYKLISTIKA\S2015\RO 2015\"/>
    </mc:Choice>
  </mc:AlternateContent>
  <workbookProtection workbookAlgorithmName="SHA-512" workbookHashValue="8c8NbZDNhHd4y1COBq5KJ0cCIF9aQuuJVGkAzY9LU6bpXNF8TyuMx+fzej8DfcYEapY1nehPg3dWmRlERfgP8A==" workbookSaltValue="U6r0mJLUhWLUxRPm8u4pfg==" workbookSpinCount="100000" lockStructure="1"/>
  <bookViews>
    <workbookView xWindow="0" yWindow="0" windowWidth="23040" windowHeight="9576" tabRatio="883" firstSheet="1" activeTab="6"/>
  </bookViews>
  <sheets>
    <sheet name="CTRL" sheetId="25" state="hidden" r:id="rId1"/>
    <sheet name="SL0" sheetId="50" r:id="rId2"/>
    <sheet name="SLT" sheetId="93" r:id="rId3"/>
    <sheet name="SL2" sheetId="76" r:id="rId4"/>
    <sheet name="PA1" sheetId="47" state="hidden" r:id="rId5"/>
    <sheet name="ET1" sheetId="44" r:id="rId6"/>
    <sheet name="AE1" sheetId="91" r:id="rId7"/>
    <sheet name="PR1" sheetId="89" r:id="rId8"/>
    <sheet name="GC1" sheetId="90" state="hidden" r:id="rId9"/>
    <sheet name="RE1" sheetId="95" r:id="rId10"/>
    <sheet name="Payroll" sheetId="96" state="hidden" r:id="rId11"/>
  </sheets>
  <definedNames>
    <definedName name="_xlnm._FilterDatabase" localSheetId="6" hidden="1">'AE1'!$T$12:$V$149</definedName>
    <definedName name="_xlnm._FilterDatabase" localSheetId="5" hidden="1">'ET1'!$B$152:$I$159</definedName>
    <definedName name="_xlnm._FilterDatabase" localSheetId="8" hidden="1">'GC1'!$C$12:$AE$29</definedName>
    <definedName name="_xlnm._FilterDatabase" localSheetId="7" hidden="1">'PR1'!$B$12:$T$52</definedName>
    <definedName name="AFTER1">'AE1'!$B$12:$M$159</definedName>
    <definedName name="BODO1">'PR1'!$B$12:$B$52</definedName>
    <definedName name="DATUM1">CTRL!$B$10</definedName>
    <definedName name="DATUM2">CTRL!$B$11</definedName>
    <definedName name="DATUM3">CTRL!$B$12</definedName>
    <definedName name="DATUM4">CTRL!$B$13</definedName>
    <definedName name="DATUMVSE">CTRL!$B$14</definedName>
    <definedName name="ETAP1">CTRL!$B$2</definedName>
    <definedName name="ETAP2">CTRL!$B$3</definedName>
    <definedName name="ETAP3">CTRL!$B$4</definedName>
    <definedName name="ETAP4">CTRL!$B$5</definedName>
    <definedName name="ETAPCELK">CTRL!$B$6</definedName>
    <definedName name="MECH1">CTRL!$B$44</definedName>
    <definedName name="MECH2">CTRL!$B$45</definedName>
    <definedName name="MECH3">CTRL!$B$46</definedName>
    <definedName name="MECH4">CTRL!$B$47</definedName>
    <definedName name="MISTO">CTRL!$B$16</definedName>
    <definedName name="MISTO1">CTRL!$C$17</definedName>
    <definedName name="MISTO2">CTRL!$C$18</definedName>
    <definedName name="MISTO3">CTRL!$C$19</definedName>
    <definedName name="MISTO4">CTRL!$C$20</definedName>
    <definedName name="MLADY">CTRL!$B$42</definedName>
    <definedName name="NAZE1">CTRL!$B$17</definedName>
    <definedName name="NAZE2">CTRL!$B$18</definedName>
    <definedName name="NAZE3">CTRL!$B$19</definedName>
    <definedName name="NAZE4">CTRL!$B$20</definedName>
    <definedName name="NAZEV">CTRL!$B$7</definedName>
    <definedName name="NOOFLISTS">CTRL!$B$27</definedName>
    <definedName name="NOSI2">CTRL!$B$34</definedName>
    <definedName name="NOSI3">CTRL!$B$35</definedName>
    <definedName name="NOSI4">CTRL!$B$36</definedName>
    <definedName name="NOSIC">CTRL!$B$37</definedName>
    <definedName name="NRIDERS1">CTRL!$B$29</definedName>
    <definedName name="NRIDERS2">CTRL!$B$30</definedName>
    <definedName name="NRIDERS3">CTRL!$B$31</definedName>
    <definedName name="NRIDERS4">CTRL!$B$32</definedName>
    <definedName name="ODDIL">CTRL!$T$3:$U$25</definedName>
    <definedName name="PODTITUL">CTRL!$B$8</definedName>
    <definedName name="POET1">CTRL!$B$22</definedName>
    <definedName name="POET2">CTRL!$B$23</definedName>
    <definedName name="POET3">CTRL!$B$24</definedName>
    <definedName name="POET4">CTRL!$B$25</definedName>
    <definedName name="POETAP1">CTRL!$C$2</definedName>
    <definedName name="POETAP2">CTRL!$C$3</definedName>
    <definedName name="POETAP3">CTRL!$C$4</definedName>
    <definedName name="POETAP4">CTRL!$C$5</definedName>
    <definedName name="ROK">CTRL!$B$9</definedName>
    <definedName name="SLIST">CTRL!$B$49</definedName>
    <definedName name="SPRINT">CTRL!$B$40</definedName>
    <definedName name="STARTOVKA">SL0!$B$12:$H$159</definedName>
    <definedName name="VLIST">CTRL!$B$50</definedName>
    <definedName name="VRCHAR">CTRL!$B$41</definedName>
    <definedName name="ZLUTY">CTRL!$B$39</definedName>
    <definedName name="ZLUTYDESC">CTRL!$C$39</definedName>
  </definedNames>
  <calcPr calcId="152511"/>
</workbook>
</file>

<file path=xl/calcChain.xml><?xml version="1.0" encoding="utf-8"?>
<calcChain xmlns="http://schemas.openxmlformats.org/spreadsheetml/2006/main">
  <c r="A1" i="95" l="1"/>
  <c r="B2" i="95"/>
  <c r="AZ3" i="95"/>
  <c r="AZ4" i="95"/>
  <c r="AE3" i="90"/>
  <c r="S4" i="96"/>
  <c r="L1" i="96"/>
  <c r="L2" i="96"/>
  <c r="S3" i="96"/>
  <c r="A5" i="96"/>
  <c r="L4" i="96"/>
  <c r="K4" i="96"/>
  <c r="J4" i="50"/>
  <c r="K3" i="96"/>
  <c r="A4" i="96"/>
  <c r="A2" i="96"/>
  <c r="A1" i="96"/>
  <c r="W46" i="96"/>
  <c r="V46" i="96"/>
  <c r="W45" i="96"/>
  <c r="V45" i="96"/>
  <c r="W44" i="96"/>
  <c r="V44" i="96"/>
  <c r="W43" i="96"/>
  <c r="V43" i="96"/>
  <c r="W42" i="96"/>
  <c r="V42" i="96"/>
  <c r="W41" i="96"/>
  <c r="V41" i="96"/>
  <c r="W40" i="96"/>
  <c r="V40" i="96"/>
  <c r="W39" i="96"/>
  <c r="V39" i="96"/>
  <c r="W38" i="96"/>
  <c r="V38" i="96"/>
  <c r="Q38" i="96"/>
  <c r="P38" i="96"/>
  <c r="O38" i="96"/>
  <c r="N38" i="96"/>
  <c r="W37" i="96"/>
  <c r="V37" i="96"/>
  <c r="W36" i="96"/>
  <c r="V36" i="96"/>
  <c r="Q36" i="96"/>
  <c r="P36" i="96"/>
  <c r="O36" i="96"/>
  <c r="N36" i="96"/>
  <c r="W35" i="96"/>
  <c r="V35" i="96"/>
  <c r="W34" i="96"/>
  <c r="V34" i="96"/>
  <c r="Q34" i="96"/>
  <c r="P34" i="96"/>
  <c r="O34" i="96"/>
  <c r="N34" i="96"/>
  <c r="W33" i="96"/>
  <c r="V33" i="96"/>
  <c r="W32" i="96"/>
  <c r="V32" i="96"/>
  <c r="Q32" i="96"/>
  <c r="P32" i="96"/>
  <c r="O32" i="96"/>
  <c r="N32" i="96"/>
  <c r="W31" i="96"/>
  <c r="V31" i="96"/>
  <c r="W30" i="96"/>
  <c r="V30" i="96"/>
  <c r="Q30" i="96"/>
  <c r="P30" i="96"/>
  <c r="O30" i="96"/>
  <c r="N30" i="96"/>
  <c r="W29" i="96"/>
  <c r="V29" i="96"/>
  <c r="W28" i="96"/>
  <c r="V28" i="96"/>
  <c r="Q28" i="96"/>
  <c r="P28" i="96"/>
  <c r="O28" i="96"/>
  <c r="N28" i="96"/>
  <c r="W27" i="96"/>
  <c r="V27" i="96"/>
  <c r="W26" i="96"/>
  <c r="V26" i="96"/>
  <c r="Y154" i="96" s="1"/>
  <c r="Q26" i="96"/>
  <c r="P26" i="96"/>
  <c r="O26" i="96"/>
  <c r="N26" i="96"/>
  <c r="D26" i="96"/>
  <c r="W25" i="96"/>
  <c r="V25" i="96"/>
  <c r="W24" i="96"/>
  <c r="V24" i="96"/>
  <c r="Q24" i="96"/>
  <c r="P24" i="96"/>
  <c r="O24" i="96"/>
  <c r="N24" i="96"/>
  <c r="W23" i="96"/>
  <c r="V23" i="96"/>
  <c r="W22" i="96"/>
  <c r="V22" i="96"/>
  <c r="Q22" i="96"/>
  <c r="P22" i="96"/>
  <c r="O22" i="96"/>
  <c r="N22" i="96"/>
  <c r="W21" i="96"/>
  <c r="V21" i="96"/>
  <c r="J21" i="96"/>
  <c r="W20" i="96"/>
  <c r="V20" i="96"/>
  <c r="Q20" i="96"/>
  <c r="P20" i="96"/>
  <c r="O20" i="96"/>
  <c r="N20" i="96"/>
  <c r="J20" i="96"/>
  <c r="W19" i="96"/>
  <c r="V19" i="96"/>
  <c r="J19" i="96"/>
  <c r="W18" i="96"/>
  <c r="V18" i="96"/>
  <c r="Q18" i="96"/>
  <c r="P18" i="96"/>
  <c r="O18" i="96"/>
  <c r="N18" i="96"/>
  <c r="K18" i="96"/>
  <c r="K41" i="96" s="1"/>
  <c r="J18" i="96"/>
  <c r="W17" i="96"/>
  <c r="V17" i="96"/>
  <c r="W16" i="96"/>
  <c r="V16" i="96"/>
  <c r="Q16" i="96"/>
  <c r="P16" i="96"/>
  <c r="O16" i="96"/>
  <c r="N16" i="96"/>
  <c r="W15" i="96"/>
  <c r="V15" i="96"/>
  <c r="W14" i="96"/>
  <c r="V14" i="96"/>
  <c r="Q14" i="96"/>
  <c r="P14" i="96"/>
  <c r="O14" i="96"/>
  <c r="N14" i="96"/>
  <c r="W13" i="96"/>
  <c r="V13" i="96"/>
  <c r="W12" i="96"/>
  <c r="V12" i="96"/>
  <c r="Q12" i="96"/>
  <c r="P12" i="96"/>
  <c r="O12" i="96"/>
  <c r="N12" i="96"/>
  <c r="W11" i="96"/>
  <c r="V11" i="96"/>
  <c r="W10" i="96"/>
  <c r="V10" i="96"/>
  <c r="W9" i="96"/>
  <c r="V9" i="96"/>
  <c r="Y138" i="96" s="1"/>
  <c r="Y139" i="96" l="1"/>
  <c r="Y142" i="96"/>
  <c r="Y150" i="96"/>
  <c r="Y146" i="96"/>
  <c r="Y153" i="96"/>
  <c r="Y149" i="96"/>
  <c r="Y145" i="96"/>
  <c r="Y141" i="96"/>
  <c r="Y156" i="96"/>
  <c r="Y152" i="96"/>
  <c r="Y148" i="96"/>
  <c r="Y144" i="96"/>
  <c r="Y140" i="96"/>
  <c r="Y155" i="96"/>
  <c r="Y151" i="96"/>
  <c r="Y147" i="96"/>
  <c r="Y143" i="96"/>
  <c r="Y34" i="96"/>
  <c r="Y40" i="96"/>
  <c r="Y41" i="96"/>
  <c r="Y45" i="96"/>
  <c r="Y47" i="96"/>
  <c r="Y51" i="96"/>
  <c r="Y55" i="96"/>
  <c r="Y59" i="96"/>
  <c r="Y63" i="96"/>
  <c r="Y67" i="96"/>
  <c r="Y71" i="96"/>
  <c r="Y75" i="96"/>
  <c r="Y79" i="96"/>
  <c r="Y83" i="96"/>
  <c r="Y87" i="96"/>
  <c r="Y91" i="96"/>
  <c r="Y95" i="96"/>
  <c r="Y99" i="96"/>
  <c r="Y103" i="96"/>
  <c r="Y107" i="96"/>
  <c r="Y111" i="96"/>
  <c r="Y115" i="96"/>
  <c r="Y119" i="96"/>
  <c r="Y123" i="96"/>
  <c r="Y127" i="96"/>
  <c r="Y131" i="96"/>
  <c r="Y135" i="96"/>
  <c r="Y11" i="96"/>
  <c r="R16" i="96" s="1"/>
  <c r="Y12" i="96"/>
  <c r="R18" i="96" s="1"/>
  <c r="Y20" i="96"/>
  <c r="R34" i="96" s="1"/>
  <c r="Y21" i="96"/>
  <c r="R36" i="96" s="1"/>
  <c r="Y22" i="96"/>
  <c r="R38" i="96" s="1"/>
  <c r="Y31" i="96"/>
  <c r="Y32" i="96"/>
  <c r="Y39" i="96"/>
  <c r="Y44" i="96"/>
  <c r="Y48" i="96"/>
  <c r="Y52" i="96"/>
  <c r="Y56" i="96"/>
  <c r="Y60" i="96"/>
  <c r="Y64" i="96"/>
  <c r="Y68" i="96"/>
  <c r="Y72" i="96"/>
  <c r="Y76" i="96"/>
  <c r="Y80" i="96"/>
  <c r="Y84" i="96"/>
  <c r="Y88" i="96"/>
  <c r="Y92" i="96"/>
  <c r="Y96" i="96"/>
  <c r="Y100" i="96"/>
  <c r="Y104" i="96"/>
  <c r="Y108" i="96"/>
  <c r="Y112" i="96"/>
  <c r="Y116" i="96"/>
  <c r="Y120" i="96"/>
  <c r="Y124" i="96"/>
  <c r="Y128" i="96"/>
  <c r="Y132" i="96"/>
  <c r="Y136" i="96"/>
  <c r="Y23" i="96"/>
  <c r="Y10" i="96"/>
  <c r="R14" i="96" s="1"/>
  <c r="Y17" i="96"/>
  <c r="R28" i="96" s="1"/>
  <c r="Y29" i="96"/>
  <c r="Y30" i="96"/>
  <c r="Y37" i="96"/>
  <c r="Y38" i="96"/>
  <c r="Y43" i="96"/>
  <c r="Y49" i="96"/>
  <c r="Y53" i="96"/>
  <c r="Y57" i="96"/>
  <c r="Y61" i="96"/>
  <c r="Y65" i="96"/>
  <c r="Y69" i="96"/>
  <c r="Y73" i="96"/>
  <c r="Y77" i="96"/>
  <c r="Y81" i="96"/>
  <c r="Y85" i="96"/>
  <c r="Y89" i="96"/>
  <c r="Y93" i="96"/>
  <c r="Y97" i="96"/>
  <c r="Y101" i="96"/>
  <c r="Y105" i="96"/>
  <c r="Y109" i="96"/>
  <c r="Y113" i="96"/>
  <c r="Y117" i="96"/>
  <c r="Y121" i="96"/>
  <c r="Y125" i="96"/>
  <c r="Y129" i="96"/>
  <c r="Y133" i="96"/>
  <c r="Y137" i="96"/>
  <c r="Y13" i="96"/>
  <c r="R20" i="96" s="1"/>
  <c r="Y14" i="96"/>
  <c r="R22" i="96" s="1"/>
  <c r="Y18" i="96"/>
  <c r="R30" i="96" s="1"/>
  <c r="Y19" i="96"/>
  <c r="R32" i="96" s="1"/>
  <c r="Y24" i="96"/>
  <c r="Y26" i="96"/>
  <c r="Y33" i="96"/>
  <c r="Y9" i="96"/>
  <c r="R12" i="96" s="1"/>
  <c r="Y15" i="96"/>
  <c r="R24" i="96" s="1"/>
  <c r="Y16" i="96"/>
  <c r="R26" i="96" s="1"/>
  <c r="Y25" i="96"/>
  <c r="Y27" i="96"/>
  <c r="Y28" i="96"/>
  <c r="Y35" i="96"/>
  <c r="Y36" i="96"/>
  <c r="Y42" i="96"/>
  <c r="Y46" i="96"/>
  <c r="Y50" i="96"/>
  <c r="Y54" i="96"/>
  <c r="Y58" i="96"/>
  <c r="Y62" i="96"/>
  <c r="Y66" i="96"/>
  <c r="Y70" i="96"/>
  <c r="Y74" i="96"/>
  <c r="Y78" i="96"/>
  <c r="Y82" i="96"/>
  <c r="Y86" i="96"/>
  <c r="Y90" i="96"/>
  <c r="Y94" i="96"/>
  <c r="Y98" i="96"/>
  <c r="Y102" i="96"/>
  <c r="Y106" i="96"/>
  <c r="Y110" i="96"/>
  <c r="Y114" i="96"/>
  <c r="Y118" i="96"/>
  <c r="Y122" i="96"/>
  <c r="Y126" i="96"/>
  <c r="Y130" i="96"/>
  <c r="Y134" i="96"/>
  <c r="F13" i="90"/>
  <c r="G13" i="90"/>
  <c r="H13" i="90"/>
  <c r="I13" i="90"/>
  <c r="F14" i="90"/>
  <c r="G14" i="90"/>
  <c r="H14" i="90"/>
  <c r="I14" i="90"/>
  <c r="F15" i="90"/>
  <c r="G15" i="90"/>
  <c r="H15" i="90"/>
  <c r="I15" i="90"/>
  <c r="F16" i="90"/>
  <c r="G16" i="90"/>
  <c r="H16" i="90"/>
  <c r="I16" i="90"/>
  <c r="F17" i="90"/>
  <c r="G17" i="90"/>
  <c r="H17" i="90"/>
  <c r="I17" i="90"/>
  <c r="F18" i="90"/>
  <c r="G18" i="90"/>
  <c r="H18" i="90"/>
  <c r="I18" i="90"/>
  <c r="F19" i="90"/>
  <c r="G19" i="90"/>
  <c r="H19" i="90"/>
  <c r="I19" i="90"/>
  <c r="F20" i="90"/>
  <c r="G20" i="90"/>
  <c r="H20" i="90"/>
  <c r="I20" i="90"/>
  <c r="F21" i="90"/>
  <c r="G21" i="90"/>
  <c r="H21" i="90"/>
  <c r="I21" i="90"/>
  <c r="F22" i="90"/>
  <c r="G22" i="90"/>
  <c r="H22" i="90"/>
  <c r="I22" i="90"/>
  <c r="F23" i="90"/>
  <c r="G23" i="90"/>
  <c r="H23" i="90"/>
  <c r="I23" i="90"/>
  <c r="F24" i="90"/>
  <c r="G24" i="90"/>
  <c r="H24" i="90"/>
  <c r="I24" i="90"/>
  <c r="F25" i="90"/>
  <c r="G25" i="90"/>
  <c r="H25" i="90"/>
  <c r="I25" i="90"/>
  <c r="F26" i="90"/>
  <c r="G26" i="90"/>
  <c r="H26" i="90"/>
  <c r="I26" i="90"/>
  <c r="F27" i="90"/>
  <c r="G27" i="90"/>
  <c r="H27" i="90"/>
  <c r="I27" i="90"/>
  <c r="F28" i="90"/>
  <c r="G28" i="90"/>
  <c r="H28" i="90"/>
  <c r="I28" i="90"/>
  <c r="F29" i="90"/>
  <c r="G29" i="90"/>
  <c r="H29" i="90"/>
  <c r="I29" i="90"/>
  <c r="I12" i="90"/>
  <c r="H12" i="90"/>
  <c r="G12" i="90"/>
  <c r="F12" i="90" l="1"/>
  <c r="T60" i="89"/>
  <c r="T61" i="89"/>
  <c r="T62" i="89"/>
  <c r="T58" i="89"/>
  <c r="T59" i="89"/>
  <c r="T63" i="89"/>
  <c r="T64" i="89"/>
  <c r="T65" i="89"/>
  <c r="T66" i="89"/>
  <c r="T67" i="89"/>
  <c r="T68" i="89"/>
  <c r="T69" i="89"/>
  <c r="T70" i="89"/>
  <c r="T71" i="89"/>
  <c r="T72" i="89"/>
  <c r="T73" i="89"/>
  <c r="T74" i="89"/>
  <c r="T75" i="89"/>
  <c r="T76" i="89"/>
  <c r="T77" i="89"/>
  <c r="T78" i="89"/>
  <c r="T79" i="89"/>
  <c r="T80" i="89"/>
  <c r="T57" i="89"/>
  <c r="T13" i="89"/>
  <c r="T14" i="89"/>
  <c r="T15" i="89"/>
  <c r="T16" i="89"/>
  <c r="T17" i="89"/>
  <c r="T18" i="89"/>
  <c r="T19" i="89"/>
  <c r="T20" i="89"/>
  <c r="T21" i="89"/>
  <c r="T22" i="89"/>
  <c r="T23" i="89"/>
  <c r="T24" i="89"/>
  <c r="T25" i="89"/>
  <c r="T26" i="89"/>
  <c r="T27" i="89"/>
  <c r="T28" i="89"/>
  <c r="T29" i="89"/>
  <c r="T30" i="89"/>
  <c r="T31" i="89"/>
  <c r="T32" i="89"/>
  <c r="T33" i="89"/>
  <c r="T34" i="89"/>
  <c r="T35" i="89"/>
  <c r="T36" i="89"/>
  <c r="T37" i="89"/>
  <c r="T38" i="89"/>
  <c r="T39" i="89"/>
  <c r="T40" i="89"/>
  <c r="T41" i="89"/>
  <c r="T42" i="89"/>
  <c r="T43" i="89"/>
  <c r="T44" i="89"/>
  <c r="T45" i="89"/>
  <c r="T46" i="89"/>
  <c r="T47" i="89"/>
  <c r="T48" i="89"/>
  <c r="T49" i="89"/>
  <c r="T50" i="89"/>
  <c r="T51" i="89"/>
  <c r="T52" i="89"/>
  <c r="T12" i="89"/>
  <c r="C66" i="89"/>
  <c r="C67" i="89"/>
  <c r="C68" i="89"/>
  <c r="C69" i="89"/>
  <c r="C70" i="89"/>
  <c r="C71" i="89"/>
  <c r="D66" i="89"/>
  <c r="E66" i="89"/>
  <c r="D67" i="89"/>
  <c r="E67" i="89"/>
  <c r="D68" i="89"/>
  <c r="E68" i="89"/>
  <c r="D69" i="89"/>
  <c r="E69" i="89"/>
  <c r="D70" i="89"/>
  <c r="E70" i="89"/>
  <c r="D71" i="89"/>
  <c r="E71" i="89"/>
  <c r="D72" i="89"/>
  <c r="E72" i="89"/>
  <c r="W14" i="89"/>
  <c r="W15" i="89"/>
  <c r="W16" i="89"/>
  <c r="W17" i="89"/>
  <c r="W18" i="89"/>
  <c r="W19" i="89"/>
  <c r="W20" i="89"/>
  <c r="W21" i="89"/>
  <c r="W22" i="89"/>
  <c r="W23" i="89"/>
  <c r="W24" i="89"/>
  <c r="W25" i="89"/>
  <c r="W26" i="89"/>
  <c r="W27" i="89"/>
  <c r="W28" i="89"/>
  <c r="W29" i="89"/>
  <c r="W30" i="89"/>
  <c r="W31" i="89"/>
  <c r="W32" i="89"/>
  <c r="W33" i="89"/>
  <c r="W34" i="89"/>
  <c r="W35" i="89"/>
  <c r="W36" i="89"/>
  <c r="W37" i="89"/>
  <c r="W38" i="89"/>
  <c r="W39" i="89"/>
  <c r="W40" i="89"/>
  <c r="W41" i="89"/>
  <c r="W42" i="89"/>
  <c r="W43" i="89"/>
  <c r="W44" i="89"/>
  <c r="W45" i="89"/>
  <c r="W46" i="89"/>
  <c r="W47" i="89"/>
  <c r="W48" i="89"/>
  <c r="W49" i="89"/>
  <c r="W50" i="89"/>
  <c r="W51" i="89"/>
  <c r="W52" i="89"/>
  <c r="C33" i="89"/>
  <c r="D33" i="89"/>
  <c r="E33" i="89"/>
  <c r="C34" i="89"/>
  <c r="D34" i="89"/>
  <c r="E34" i="89"/>
  <c r="C35" i="89"/>
  <c r="D35" i="89"/>
  <c r="E35" i="89"/>
  <c r="C36" i="89"/>
  <c r="D36" i="89"/>
  <c r="E36" i="89"/>
  <c r="C37" i="89"/>
  <c r="D37" i="89"/>
  <c r="E37" i="89"/>
  <c r="C38" i="89"/>
  <c r="D38" i="89"/>
  <c r="E38" i="89"/>
  <c r="C39" i="89"/>
  <c r="D39" i="89"/>
  <c r="E39" i="89"/>
  <c r="C40" i="89"/>
  <c r="D40" i="89"/>
  <c r="E40" i="89"/>
  <c r="C41" i="89"/>
  <c r="D41" i="89"/>
  <c r="E41" i="89"/>
  <c r="C42" i="89"/>
  <c r="D42" i="89"/>
  <c r="E42" i="89"/>
  <c r="C43" i="89"/>
  <c r="D43" i="89"/>
  <c r="E43" i="89"/>
  <c r="C44" i="89"/>
  <c r="D44" i="89"/>
  <c r="E44" i="89"/>
  <c r="C45" i="89"/>
  <c r="D45" i="89"/>
  <c r="E45" i="89"/>
  <c r="C46" i="89"/>
  <c r="D46" i="89"/>
  <c r="E46" i="89"/>
  <c r="C47" i="89"/>
  <c r="D47" i="89"/>
  <c r="E47" i="89"/>
  <c r="C48" i="89"/>
  <c r="D48" i="89"/>
  <c r="E48" i="89"/>
  <c r="C49" i="89"/>
  <c r="D49" i="89"/>
  <c r="E49" i="89"/>
  <c r="C50" i="89"/>
  <c r="D50" i="89"/>
  <c r="E50" i="89"/>
  <c r="C51" i="89"/>
  <c r="D51" i="89"/>
  <c r="E51" i="89"/>
  <c r="C52" i="89"/>
  <c r="D52" i="89"/>
  <c r="E52" i="89"/>
  <c r="C80" i="91"/>
  <c r="D80" i="91"/>
  <c r="E80" i="91"/>
  <c r="F80" i="91"/>
  <c r="G80" i="91"/>
  <c r="H80" i="91"/>
  <c r="C97" i="91"/>
  <c r="D97" i="91"/>
  <c r="E97" i="91"/>
  <c r="F97" i="91"/>
  <c r="G97" i="91"/>
  <c r="H97" i="91"/>
  <c r="C65" i="91"/>
  <c r="D65" i="91"/>
  <c r="E65" i="91"/>
  <c r="F65" i="91"/>
  <c r="G65" i="91"/>
  <c r="H65" i="91"/>
  <c r="C96" i="91"/>
  <c r="D96" i="91"/>
  <c r="E96" i="91"/>
  <c r="F96" i="91"/>
  <c r="G96" i="91"/>
  <c r="H96" i="91"/>
  <c r="C20" i="91"/>
  <c r="D20" i="91"/>
  <c r="E20" i="91"/>
  <c r="F20" i="91"/>
  <c r="G20" i="91"/>
  <c r="H20" i="91"/>
  <c r="C100" i="91"/>
  <c r="D100" i="91"/>
  <c r="E100" i="91"/>
  <c r="F100" i="91"/>
  <c r="G100" i="91"/>
  <c r="H100" i="91"/>
  <c r="C77" i="91"/>
  <c r="D77" i="91"/>
  <c r="E77" i="91"/>
  <c r="F77" i="91"/>
  <c r="G77" i="91"/>
  <c r="H77" i="91"/>
  <c r="C101" i="91"/>
  <c r="D101" i="91"/>
  <c r="E101" i="91"/>
  <c r="F101" i="91"/>
  <c r="G101" i="91"/>
  <c r="H101" i="91"/>
  <c r="C135" i="91"/>
  <c r="D135" i="91"/>
  <c r="E135" i="91"/>
  <c r="F135" i="91"/>
  <c r="G135" i="91"/>
  <c r="H135" i="91"/>
  <c r="C119" i="91"/>
  <c r="D119" i="91"/>
  <c r="E119" i="91"/>
  <c r="F119" i="91"/>
  <c r="G119" i="91"/>
  <c r="H119" i="91"/>
  <c r="C140" i="91"/>
  <c r="D140" i="91"/>
  <c r="E140" i="91"/>
  <c r="F140" i="91"/>
  <c r="G140" i="91"/>
  <c r="H140" i="91"/>
  <c r="C109" i="91"/>
  <c r="D109" i="91"/>
  <c r="E109" i="91"/>
  <c r="F109" i="91"/>
  <c r="G109" i="91"/>
  <c r="H109" i="91"/>
  <c r="C133" i="91"/>
  <c r="D133" i="91"/>
  <c r="E133" i="91"/>
  <c r="F133" i="91"/>
  <c r="G133" i="91"/>
  <c r="H133" i="91"/>
  <c r="C108" i="91"/>
  <c r="D108" i="91"/>
  <c r="E108" i="91"/>
  <c r="F108" i="91"/>
  <c r="G108" i="91"/>
  <c r="H108" i="91"/>
  <c r="C43" i="91"/>
  <c r="D43" i="91"/>
  <c r="E43" i="91"/>
  <c r="F43" i="91"/>
  <c r="G43" i="91"/>
  <c r="H43" i="91"/>
  <c r="C42" i="91"/>
  <c r="D42" i="91"/>
  <c r="E42" i="91"/>
  <c r="F42" i="91"/>
  <c r="G42" i="91"/>
  <c r="H42" i="91"/>
  <c r="C110" i="91"/>
  <c r="D110" i="91"/>
  <c r="E110" i="91"/>
  <c r="F110" i="91"/>
  <c r="G110" i="91"/>
  <c r="H110" i="91"/>
  <c r="C155" i="91"/>
  <c r="D155" i="91"/>
  <c r="E155" i="91"/>
  <c r="F155" i="91"/>
  <c r="G155" i="91"/>
  <c r="H155" i="91"/>
  <c r="C53" i="91"/>
  <c r="D53" i="91"/>
  <c r="E53" i="91"/>
  <c r="F53" i="91"/>
  <c r="G53" i="91"/>
  <c r="H53" i="91"/>
  <c r="C107" i="91"/>
  <c r="D107" i="91"/>
  <c r="E107" i="91"/>
  <c r="F107" i="91"/>
  <c r="G107" i="91"/>
  <c r="H107" i="91"/>
  <c r="C111" i="91"/>
  <c r="D111" i="91"/>
  <c r="E111" i="91"/>
  <c r="F111" i="91"/>
  <c r="G111" i="91"/>
  <c r="H111" i="91"/>
  <c r="C116" i="91"/>
  <c r="D116" i="91"/>
  <c r="E116" i="91"/>
  <c r="F116" i="91"/>
  <c r="G116" i="91"/>
  <c r="H116" i="91"/>
  <c r="C113" i="91"/>
  <c r="D113" i="91"/>
  <c r="E113" i="91"/>
  <c r="F113" i="91"/>
  <c r="G113" i="91"/>
  <c r="H113" i="91"/>
  <c r="C115" i="91"/>
  <c r="D115" i="91"/>
  <c r="E115" i="91"/>
  <c r="F115" i="91"/>
  <c r="G115" i="91"/>
  <c r="H115" i="91"/>
  <c r="C18" i="91"/>
  <c r="D18" i="91"/>
  <c r="E18" i="91"/>
  <c r="F18" i="91"/>
  <c r="G18" i="91"/>
  <c r="H18" i="91"/>
  <c r="C91" i="91"/>
  <c r="D91" i="91"/>
  <c r="E91" i="91"/>
  <c r="F91" i="91"/>
  <c r="G91" i="91"/>
  <c r="H91" i="91"/>
  <c r="C15" i="91"/>
  <c r="D15" i="91"/>
  <c r="E15" i="91"/>
  <c r="F15" i="91"/>
  <c r="G15" i="91"/>
  <c r="H15" i="91"/>
  <c r="C136" i="91"/>
  <c r="D136" i="91"/>
  <c r="E136" i="91"/>
  <c r="F136" i="91"/>
  <c r="G136" i="91"/>
  <c r="H136" i="91"/>
  <c r="C156" i="91"/>
  <c r="D156" i="91"/>
  <c r="E156" i="91"/>
  <c r="F156" i="91"/>
  <c r="G156" i="91"/>
  <c r="H156" i="91"/>
  <c r="C52" i="91"/>
  <c r="D52" i="91"/>
  <c r="E52" i="91"/>
  <c r="F52" i="91"/>
  <c r="G52" i="91"/>
  <c r="H52" i="91"/>
  <c r="C69" i="91"/>
  <c r="D69" i="91"/>
  <c r="E69" i="91"/>
  <c r="F69" i="91"/>
  <c r="G69" i="91"/>
  <c r="H69" i="91"/>
  <c r="C28" i="91"/>
  <c r="D28" i="91"/>
  <c r="E28" i="91"/>
  <c r="F28" i="91"/>
  <c r="G28" i="91"/>
  <c r="H28" i="91"/>
  <c r="C157" i="91"/>
  <c r="D157" i="91"/>
  <c r="E157" i="91"/>
  <c r="F157" i="91"/>
  <c r="G157" i="91"/>
  <c r="H157" i="91"/>
  <c r="C71" i="91"/>
  <c r="D71" i="91"/>
  <c r="E71" i="91"/>
  <c r="F71" i="91"/>
  <c r="G71" i="91"/>
  <c r="H71" i="91"/>
  <c r="C85" i="91"/>
  <c r="D85" i="91"/>
  <c r="E85" i="91"/>
  <c r="F85" i="91"/>
  <c r="G85" i="91"/>
  <c r="H85" i="91"/>
  <c r="C112" i="91"/>
  <c r="D112" i="91"/>
  <c r="E112" i="91"/>
  <c r="F112" i="91"/>
  <c r="G112" i="91"/>
  <c r="H112" i="91"/>
  <c r="C146" i="91"/>
  <c r="D146" i="91"/>
  <c r="E146" i="91"/>
  <c r="F146" i="91"/>
  <c r="G146" i="91"/>
  <c r="H146" i="91"/>
  <c r="C158" i="91"/>
  <c r="D158" i="91"/>
  <c r="E158" i="91"/>
  <c r="F158" i="91"/>
  <c r="G158" i="91"/>
  <c r="H158" i="91"/>
  <c r="C142" i="91"/>
  <c r="D142" i="91"/>
  <c r="E142" i="91"/>
  <c r="F142" i="91"/>
  <c r="G142" i="91"/>
  <c r="H142" i="91"/>
  <c r="C143" i="91"/>
  <c r="D143" i="91"/>
  <c r="E143" i="91"/>
  <c r="F143" i="91"/>
  <c r="G143" i="91"/>
  <c r="H143" i="91"/>
  <c r="C145" i="91"/>
  <c r="D145" i="91"/>
  <c r="E145" i="91"/>
  <c r="F145" i="91"/>
  <c r="G145" i="91"/>
  <c r="H145" i="91"/>
  <c r="C147" i="91"/>
  <c r="D147" i="91"/>
  <c r="E147" i="91"/>
  <c r="F147" i="91"/>
  <c r="G147" i="91"/>
  <c r="H147" i="91"/>
  <c r="C159" i="91"/>
  <c r="D159" i="91"/>
  <c r="E159" i="91"/>
  <c r="F159" i="91"/>
  <c r="G159" i="91"/>
  <c r="H159" i="91"/>
  <c r="C137" i="91"/>
  <c r="D137" i="91"/>
  <c r="E137" i="91"/>
  <c r="F137" i="91"/>
  <c r="G137" i="91"/>
  <c r="H137" i="91"/>
  <c r="I13" i="91"/>
  <c r="I126" i="91"/>
  <c r="I59" i="91"/>
  <c r="I128" i="91"/>
  <c r="I62" i="91"/>
  <c r="I124" i="91"/>
  <c r="I39" i="91"/>
  <c r="I23" i="91"/>
  <c r="I74" i="91"/>
  <c r="I60" i="91"/>
  <c r="I81" i="91"/>
  <c r="I58" i="91"/>
  <c r="I82" i="91"/>
  <c r="I134" i="91"/>
  <c r="I63" i="91"/>
  <c r="I132" i="91"/>
  <c r="I118" i="91"/>
  <c r="I54" i="91"/>
  <c r="I86" i="91"/>
  <c r="I103" i="91"/>
  <c r="I70" i="91"/>
  <c r="I36" i="91"/>
  <c r="I94" i="91"/>
  <c r="I90" i="91"/>
  <c r="I12" i="91"/>
  <c r="I99" i="91"/>
  <c r="I129" i="91"/>
  <c r="I45" i="91"/>
  <c r="I98" i="91"/>
  <c r="I41" i="91"/>
  <c r="I123" i="91"/>
  <c r="I38" i="91"/>
  <c r="I141" i="91"/>
  <c r="I21" i="91"/>
  <c r="I104" i="91"/>
  <c r="I40" i="91"/>
  <c r="I121" i="91"/>
  <c r="I61" i="91"/>
  <c r="I73" i="91"/>
  <c r="I27" i="91"/>
  <c r="I33" i="91"/>
  <c r="I131" i="91"/>
  <c r="I67" i="91"/>
  <c r="I47" i="91"/>
  <c r="I34" i="91"/>
  <c r="I102" i="91"/>
  <c r="I66" i="91"/>
  <c r="I92" i="91"/>
  <c r="I89" i="91"/>
  <c r="I29" i="91"/>
  <c r="I93" i="91"/>
  <c r="I83" i="91"/>
  <c r="I35" i="91"/>
  <c r="I44" i="91"/>
  <c r="I88" i="91"/>
  <c r="I16" i="91"/>
  <c r="I127" i="91"/>
  <c r="I17" i="91"/>
  <c r="I75" i="91"/>
  <c r="I114" i="91"/>
  <c r="I56" i="91"/>
  <c r="I57" i="91"/>
  <c r="I19" i="91"/>
  <c r="I84" i="91"/>
  <c r="I30" i="91"/>
  <c r="I14" i="91"/>
  <c r="I72" i="91"/>
  <c r="I32" i="91"/>
  <c r="I95" i="91"/>
  <c r="I51" i="91"/>
  <c r="I125" i="91"/>
  <c r="I49" i="91"/>
  <c r="I24" i="91"/>
  <c r="I139" i="91"/>
  <c r="I26" i="91"/>
  <c r="I31" i="91"/>
  <c r="I50" i="91"/>
  <c r="I87" i="91"/>
  <c r="I106" i="91"/>
  <c r="I46" i="91"/>
  <c r="I55" i="91"/>
  <c r="I25" i="91"/>
  <c r="I64" i="91"/>
  <c r="I22" i="91"/>
  <c r="I138" i="91"/>
  <c r="I122" i="91"/>
  <c r="I48" i="91"/>
  <c r="I37" i="91"/>
  <c r="I130" i="91"/>
  <c r="I105" i="91"/>
  <c r="I76" i="91"/>
  <c r="I78" i="91"/>
  <c r="I148" i="91"/>
  <c r="I144" i="91"/>
  <c r="I68" i="91"/>
  <c r="I79" i="91"/>
  <c r="I120" i="91"/>
  <c r="I80" i="91"/>
  <c r="I97" i="91"/>
  <c r="I65" i="91"/>
  <c r="I96" i="91"/>
  <c r="I20" i="91"/>
  <c r="I100" i="91"/>
  <c r="I77" i="91"/>
  <c r="I101" i="91"/>
  <c r="I135" i="91"/>
  <c r="I119" i="91"/>
  <c r="I140" i="91"/>
  <c r="I109" i="91"/>
  <c r="I133" i="91"/>
  <c r="I108" i="91"/>
  <c r="I43" i="91"/>
  <c r="I42" i="91"/>
  <c r="I110" i="91"/>
  <c r="I53" i="91"/>
  <c r="I107" i="91"/>
  <c r="I111" i="91"/>
  <c r="I116" i="91"/>
  <c r="I113" i="91"/>
  <c r="I115" i="91"/>
  <c r="I18" i="91"/>
  <c r="I91" i="91"/>
  <c r="I15" i="91"/>
  <c r="I136" i="91"/>
  <c r="I52" i="91"/>
  <c r="I69" i="91"/>
  <c r="I28" i="91"/>
  <c r="I71" i="91"/>
  <c r="I85" i="91"/>
  <c r="I112" i="91"/>
  <c r="I146" i="91"/>
  <c r="I142" i="91"/>
  <c r="I143" i="91"/>
  <c r="I145" i="91"/>
  <c r="I147" i="91"/>
  <c r="I137" i="91"/>
  <c r="M13" i="91"/>
  <c r="M126" i="91"/>
  <c r="M59" i="91"/>
  <c r="M128" i="91"/>
  <c r="M62" i="91"/>
  <c r="M124" i="91"/>
  <c r="M39" i="91"/>
  <c r="M23" i="91"/>
  <c r="M74" i="91"/>
  <c r="M60" i="91"/>
  <c r="M81" i="91"/>
  <c r="M58" i="91"/>
  <c r="M82" i="91"/>
  <c r="M134" i="91"/>
  <c r="M63" i="91"/>
  <c r="M132" i="91"/>
  <c r="M118" i="91"/>
  <c r="M54" i="91"/>
  <c r="M86" i="91"/>
  <c r="M103" i="91"/>
  <c r="M70" i="91"/>
  <c r="M36" i="91"/>
  <c r="M94" i="91"/>
  <c r="M90" i="91"/>
  <c r="M12" i="91"/>
  <c r="M99" i="91"/>
  <c r="M129" i="91"/>
  <c r="M45" i="91"/>
  <c r="M98" i="91"/>
  <c r="M41" i="91"/>
  <c r="M123" i="91"/>
  <c r="M38" i="91"/>
  <c r="M141" i="91"/>
  <c r="M21" i="91"/>
  <c r="M104" i="91"/>
  <c r="M40" i="91"/>
  <c r="M121" i="91"/>
  <c r="M61" i="91"/>
  <c r="M73" i="91"/>
  <c r="M27" i="91"/>
  <c r="M33" i="91"/>
  <c r="M131" i="91"/>
  <c r="M67" i="91"/>
  <c r="M47" i="91"/>
  <c r="M34" i="91"/>
  <c r="M102" i="91"/>
  <c r="M66" i="91"/>
  <c r="M92" i="91"/>
  <c r="M89" i="91"/>
  <c r="M29" i="91"/>
  <c r="M93" i="91"/>
  <c r="M83" i="91"/>
  <c r="M35" i="91"/>
  <c r="M44" i="91"/>
  <c r="M88" i="91"/>
  <c r="M16" i="91"/>
  <c r="M127" i="91"/>
  <c r="M17" i="91"/>
  <c r="M75" i="91"/>
  <c r="M114" i="91"/>
  <c r="M56" i="91"/>
  <c r="M57" i="91"/>
  <c r="M19" i="91"/>
  <c r="M84" i="91"/>
  <c r="M30" i="91"/>
  <c r="M14" i="91"/>
  <c r="M72" i="91"/>
  <c r="M32" i="91"/>
  <c r="M95" i="91"/>
  <c r="M51" i="91"/>
  <c r="M125" i="91"/>
  <c r="M49" i="91"/>
  <c r="M24" i="91"/>
  <c r="M139" i="91"/>
  <c r="M26" i="91"/>
  <c r="M31" i="91"/>
  <c r="M50" i="91"/>
  <c r="M87" i="91"/>
  <c r="M106" i="91"/>
  <c r="M46" i="91"/>
  <c r="M55" i="91"/>
  <c r="M25" i="91"/>
  <c r="M64" i="91"/>
  <c r="M22" i="91"/>
  <c r="M138" i="91"/>
  <c r="M122" i="91"/>
  <c r="M48" i="91"/>
  <c r="M37" i="91"/>
  <c r="M130" i="91"/>
  <c r="M105" i="91"/>
  <c r="M76" i="91"/>
  <c r="M78" i="91"/>
  <c r="M148" i="91"/>
  <c r="M144" i="91"/>
  <c r="M68" i="91"/>
  <c r="M79" i="91"/>
  <c r="M120" i="91"/>
  <c r="M80" i="91"/>
  <c r="M97" i="91"/>
  <c r="M65" i="91"/>
  <c r="M96" i="91"/>
  <c r="M20" i="91"/>
  <c r="M100" i="91"/>
  <c r="M77" i="91"/>
  <c r="M101" i="91"/>
  <c r="M135" i="91"/>
  <c r="M119" i="91"/>
  <c r="M140" i="91"/>
  <c r="M109" i="91"/>
  <c r="M133" i="91"/>
  <c r="M108" i="91"/>
  <c r="M43" i="91"/>
  <c r="M42" i="91"/>
  <c r="M110" i="91"/>
  <c r="M53" i="91"/>
  <c r="M107" i="91"/>
  <c r="M111" i="91"/>
  <c r="M116" i="91"/>
  <c r="M113" i="91"/>
  <c r="M115" i="91"/>
  <c r="M18" i="91"/>
  <c r="M91" i="91"/>
  <c r="M15" i="91"/>
  <c r="M136" i="91"/>
  <c r="M52" i="91"/>
  <c r="M69" i="91"/>
  <c r="M28" i="91"/>
  <c r="M71" i="91"/>
  <c r="M85" i="91"/>
  <c r="M112" i="91"/>
  <c r="M146" i="91"/>
  <c r="M142" i="91"/>
  <c r="M143" i="91"/>
  <c r="M145" i="91"/>
  <c r="M147" i="91"/>
  <c r="M137" i="91"/>
  <c r="AO17" i="47"/>
  <c r="AP17" i="47"/>
  <c r="AO18" i="47"/>
  <c r="AP18" i="47"/>
  <c r="AO19" i="47"/>
  <c r="AP19" i="47"/>
  <c r="AO20" i="47"/>
  <c r="AP20" i="47"/>
  <c r="AO21" i="47"/>
  <c r="AP21" i="47"/>
  <c r="AO22" i="47"/>
  <c r="AP22" i="47"/>
  <c r="AO23" i="47"/>
  <c r="AP23" i="47"/>
  <c r="AO24" i="47"/>
  <c r="AP24" i="47"/>
  <c r="AO25" i="47"/>
  <c r="AP25" i="47"/>
  <c r="AO26" i="47"/>
  <c r="AP26" i="47"/>
  <c r="AO27" i="47"/>
  <c r="AP27" i="47"/>
  <c r="AO28" i="47"/>
  <c r="AP28" i="47"/>
  <c r="AO29" i="47"/>
  <c r="AP29" i="47"/>
  <c r="AO30" i="47"/>
  <c r="AP30" i="47"/>
  <c r="AO31" i="47"/>
  <c r="AP31" i="47"/>
  <c r="AO32" i="47"/>
  <c r="AP32" i="47"/>
  <c r="T13" i="44"/>
  <c r="T14" i="44"/>
  <c r="T15" i="44"/>
  <c r="T16" i="44"/>
  <c r="T17" i="44"/>
  <c r="T18" i="44"/>
  <c r="T19" i="44"/>
  <c r="T20" i="44"/>
  <c r="T21" i="44"/>
  <c r="T22" i="44"/>
  <c r="T23" i="44"/>
  <c r="T24" i="44"/>
  <c r="T25" i="44"/>
  <c r="T26" i="44"/>
  <c r="T27" i="44"/>
  <c r="T28" i="44"/>
  <c r="T29" i="44"/>
  <c r="T30" i="44"/>
  <c r="T31" i="44"/>
  <c r="T32" i="44"/>
  <c r="T33" i="44"/>
  <c r="T34" i="44"/>
  <c r="T35" i="44"/>
  <c r="T36" i="44"/>
  <c r="T37" i="44"/>
  <c r="T38" i="44"/>
  <c r="T39" i="44"/>
  <c r="T40" i="44"/>
  <c r="T41" i="44"/>
  <c r="T42" i="44"/>
  <c r="T43" i="44"/>
  <c r="T44" i="44"/>
  <c r="T45" i="44"/>
  <c r="T46" i="44"/>
  <c r="T47" i="44"/>
  <c r="T48" i="44"/>
  <c r="T49" i="44"/>
  <c r="T50" i="44"/>
  <c r="T51" i="44"/>
  <c r="T52" i="44"/>
  <c r="T53" i="44"/>
  <c r="T54" i="44"/>
  <c r="T55" i="44"/>
  <c r="T56" i="44"/>
  <c r="T57" i="44"/>
  <c r="T58" i="44"/>
  <c r="T59" i="44"/>
  <c r="T60" i="44"/>
  <c r="T61" i="44"/>
  <c r="T62" i="44"/>
  <c r="T63" i="44"/>
  <c r="T64" i="44"/>
  <c r="T65" i="44"/>
  <c r="T66" i="44"/>
  <c r="T67" i="44"/>
  <c r="T68" i="44"/>
  <c r="T69" i="44"/>
  <c r="T70" i="44"/>
  <c r="T71" i="44"/>
  <c r="T72" i="44"/>
  <c r="T73" i="44"/>
  <c r="T74" i="44"/>
  <c r="T75" i="44"/>
  <c r="T76" i="44"/>
  <c r="T77" i="44"/>
  <c r="T78" i="44"/>
  <c r="T79" i="44"/>
  <c r="T80" i="44"/>
  <c r="T81" i="44"/>
  <c r="T82" i="44"/>
  <c r="T83" i="44"/>
  <c r="T84" i="44"/>
  <c r="T85" i="44"/>
  <c r="T86" i="44"/>
  <c r="T87" i="44"/>
  <c r="T88" i="44"/>
  <c r="T89" i="44"/>
  <c r="T90" i="44"/>
  <c r="T91" i="44"/>
  <c r="T92" i="44"/>
  <c r="T93" i="44"/>
  <c r="T94" i="44"/>
  <c r="T95" i="44"/>
  <c r="T96" i="44"/>
  <c r="T97" i="44"/>
  <c r="T98" i="44"/>
  <c r="T99" i="44"/>
  <c r="T100" i="44"/>
  <c r="T101" i="44"/>
  <c r="T102" i="44"/>
  <c r="T103" i="44"/>
  <c r="T104" i="44"/>
  <c r="T105" i="44"/>
  <c r="T106" i="44"/>
  <c r="T107" i="44"/>
  <c r="T108" i="44"/>
  <c r="T109" i="44"/>
  <c r="T110" i="44"/>
  <c r="T111" i="44"/>
  <c r="T112" i="44"/>
  <c r="T113" i="44"/>
  <c r="T114" i="44"/>
  <c r="T115" i="44"/>
  <c r="T116" i="44"/>
  <c r="T117" i="44"/>
  <c r="T118" i="44"/>
  <c r="T119" i="44"/>
  <c r="T120" i="44"/>
  <c r="T121" i="44"/>
  <c r="T122" i="44"/>
  <c r="T123" i="44"/>
  <c r="T124" i="44"/>
  <c r="T125" i="44"/>
  <c r="T126" i="44"/>
  <c r="T127" i="44"/>
  <c r="T128" i="44"/>
  <c r="T129" i="44"/>
  <c r="T130" i="44"/>
  <c r="T131" i="44"/>
  <c r="T132" i="44"/>
  <c r="T133" i="44"/>
  <c r="T134" i="44"/>
  <c r="T135" i="44"/>
  <c r="T136" i="44"/>
  <c r="T137" i="44"/>
  <c r="T138" i="44"/>
  <c r="T139" i="44"/>
  <c r="T140" i="44"/>
  <c r="T141" i="44"/>
  <c r="T142" i="44"/>
  <c r="T143" i="44"/>
  <c r="T144" i="44"/>
  <c r="T145" i="44"/>
  <c r="T146" i="44"/>
  <c r="T147" i="44"/>
  <c r="T148" i="44"/>
  <c r="T149" i="44"/>
  <c r="T150" i="44"/>
  <c r="T151" i="44"/>
  <c r="T152" i="44"/>
  <c r="T153" i="44"/>
  <c r="T154" i="44"/>
  <c r="T155" i="44"/>
  <c r="T156" i="44"/>
  <c r="T157" i="44"/>
  <c r="T158" i="44"/>
  <c r="T159" i="44"/>
  <c r="C109" i="44"/>
  <c r="D109" i="44"/>
  <c r="E109" i="44"/>
  <c r="F109" i="44"/>
  <c r="G109" i="44"/>
  <c r="H109" i="44"/>
  <c r="J123" i="44"/>
  <c r="K123" i="44"/>
  <c r="C133" i="44"/>
  <c r="D133" i="44"/>
  <c r="E133" i="44"/>
  <c r="F133" i="44"/>
  <c r="G133" i="44"/>
  <c r="H133" i="44"/>
  <c r="J124" i="44"/>
  <c r="K124" i="44"/>
  <c r="C108" i="44"/>
  <c r="D108" i="44"/>
  <c r="E108" i="44"/>
  <c r="F108" i="44"/>
  <c r="G108" i="44"/>
  <c r="H108" i="44"/>
  <c r="J125" i="44"/>
  <c r="K125" i="44"/>
  <c r="C43" i="44"/>
  <c r="D43" i="44"/>
  <c r="E43" i="44"/>
  <c r="F43" i="44"/>
  <c r="G43" i="44"/>
  <c r="H43" i="44"/>
  <c r="J126" i="44"/>
  <c r="K126" i="44"/>
  <c r="C42" i="44"/>
  <c r="D42" i="44"/>
  <c r="E42" i="44"/>
  <c r="F42" i="44"/>
  <c r="G42" i="44"/>
  <c r="H42" i="44"/>
  <c r="J127" i="44"/>
  <c r="K127" i="44"/>
  <c r="C110" i="44"/>
  <c r="D110" i="44"/>
  <c r="E110" i="44"/>
  <c r="F110" i="44"/>
  <c r="G110" i="44"/>
  <c r="H110" i="44"/>
  <c r="J128" i="44"/>
  <c r="K128" i="44"/>
  <c r="C155" i="44"/>
  <c r="D155" i="44"/>
  <c r="E155" i="44"/>
  <c r="F155" i="44"/>
  <c r="G155" i="44"/>
  <c r="H155" i="44"/>
  <c r="J129" i="44"/>
  <c r="K129" i="44"/>
  <c r="C53" i="44"/>
  <c r="D53" i="44"/>
  <c r="E53" i="44"/>
  <c r="F53" i="44"/>
  <c r="G53" i="44"/>
  <c r="H53" i="44"/>
  <c r="J130" i="44"/>
  <c r="K130" i="44"/>
  <c r="P134" i="44" s="1"/>
  <c r="C107" i="44"/>
  <c r="D107" i="44"/>
  <c r="E107" i="44"/>
  <c r="F107" i="44"/>
  <c r="G107" i="44"/>
  <c r="H107" i="44"/>
  <c r="J131" i="44"/>
  <c r="K131" i="44"/>
  <c r="P135" i="44" s="1"/>
  <c r="C111" i="44"/>
  <c r="D111" i="44"/>
  <c r="E111" i="44"/>
  <c r="F111" i="44"/>
  <c r="G111" i="44"/>
  <c r="H111" i="44"/>
  <c r="J132" i="44"/>
  <c r="K132" i="44"/>
  <c r="P136" i="44" s="1"/>
  <c r="C116" i="44"/>
  <c r="D116" i="44"/>
  <c r="E116" i="44"/>
  <c r="F116" i="44"/>
  <c r="G116" i="44"/>
  <c r="H116" i="44"/>
  <c r="J133" i="44"/>
  <c r="K133" i="44"/>
  <c r="P137" i="44" s="1"/>
  <c r="C113" i="44"/>
  <c r="D113" i="44"/>
  <c r="E113" i="44"/>
  <c r="F113" i="44"/>
  <c r="G113" i="44"/>
  <c r="H113" i="44"/>
  <c r="J134" i="44"/>
  <c r="K134" i="44"/>
  <c r="P138" i="44" s="1"/>
  <c r="C115" i="44"/>
  <c r="D115" i="44"/>
  <c r="E115" i="44"/>
  <c r="F115" i="44"/>
  <c r="G115" i="44"/>
  <c r="H115" i="44"/>
  <c r="J135" i="44"/>
  <c r="K135" i="44"/>
  <c r="P139" i="44" s="1"/>
  <c r="C18" i="44"/>
  <c r="D18" i="44"/>
  <c r="E18" i="44"/>
  <c r="F18" i="44"/>
  <c r="G18" i="44"/>
  <c r="H18" i="44"/>
  <c r="J136" i="44"/>
  <c r="K136" i="44"/>
  <c r="P140" i="44" s="1"/>
  <c r="C91" i="44"/>
  <c r="D91" i="44"/>
  <c r="E91" i="44"/>
  <c r="F91" i="44"/>
  <c r="G91" i="44"/>
  <c r="H91" i="44"/>
  <c r="J137" i="44"/>
  <c r="K137" i="44"/>
  <c r="P141" i="44" s="1"/>
  <c r="C15" i="44"/>
  <c r="D15" i="44"/>
  <c r="E15" i="44"/>
  <c r="F15" i="44"/>
  <c r="G15" i="44"/>
  <c r="H15" i="44"/>
  <c r="J142" i="44"/>
  <c r="K142" i="44"/>
  <c r="P142" i="44" s="1"/>
  <c r="C136" i="44"/>
  <c r="D136" i="44"/>
  <c r="E136" i="44"/>
  <c r="F136" i="44"/>
  <c r="G136" i="44"/>
  <c r="H136" i="44"/>
  <c r="J143" i="44"/>
  <c r="K143" i="44"/>
  <c r="P143" i="44" s="1"/>
  <c r="C156" i="44"/>
  <c r="D156" i="44"/>
  <c r="E156" i="44"/>
  <c r="F156" i="44"/>
  <c r="G156" i="44"/>
  <c r="H156" i="44"/>
  <c r="J144" i="44"/>
  <c r="K144" i="44"/>
  <c r="P144" i="44" s="1"/>
  <c r="C52" i="44"/>
  <c r="D52" i="44"/>
  <c r="E52" i="44"/>
  <c r="F52" i="44"/>
  <c r="G52" i="44"/>
  <c r="H52" i="44"/>
  <c r="J145" i="44"/>
  <c r="K145" i="44"/>
  <c r="P145" i="44" s="1"/>
  <c r="C69" i="44"/>
  <c r="D69" i="44"/>
  <c r="E69" i="44"/>
  <c r="F69" i="44"/>
  <c r="G69" i="44"/>
  <c r="H69" i="44"/>
  <c r="J146" i="44"/>
  <c r="K146" i="44"/>
  <c r="P146" i="44" s="1"/>
  <c r="C28" i="44"/>
  <c r="D28" i="44"/>
  <c r="E28" i="44"/>
  <c r="F28" i="44"/>
  <c r="G28" i="44"/>
  <c r="H28" i="44"/>
  <c r="J147" i="44"/>
  <c r="K147" i="44"/>
  <c r="P147" i="44" s="1"/>
  <c r="C157" i="44"/>
  <c r="D157" i="44"/>
  <c r="E157" i="44"/>
  <c r="F157" i="44"/>
  <c r="G157" i="44"/>
  <c r="H157" i="44"/>
  <c r="J148" i="44"/>
  <c r="K148" i="44"/>
  <c r="P148" i="44" s="1"/>
  <c r="C71" i="44"/>
  <c r="D71" i="44"/>
  <c r="E71" i="44"/>
  <c r="F71" i="44"/>
  <c r="G71" i="44"/>
  <c r="H71" i="44"/>
  <c r="C85" i="44"/>
  <c r="D85" i="44"/>
  <c r="E85" i="44"/>
  <c r="F85" i="44"/>
  <c r="G85" i="44"/>
  <c r="H85" i="44"/>
  <c r="C112" i="44"/>
  <c r="D112" i="44"/>
  <c r="E112" i="44"/>
  <c r="F112" i="44"/>
  <c r="G112" i="44"/>
  <c r="H112" i="44"/>
  <c r="C146" i="44"/>
  <c r="D146" i="44"/>
  <c r="E146" i="44"/>
  <c r="F146" i="44"/>
  <c r="G146" i="44"/>
  <c r="H146" i="44"/>
  <c r="C158" i="44"/>
  <c r="D158" i="44"/>
  <c r="E158" i="44"/>
  <c r="F158" i="44"/>
  <c r="G158" i="44"/>
  <c r="H158" i="44"/>
  <c r="C142" i="44"/>
  <c r="D142" i="44"/>
  <c r="E142" i="44"/>
  <c r="F142" i="44"/>
  <c r="G142" i="44"/>
  <c r="H142" i="44"/>
  <c r="C143" i="44"/>
  <c r="D143" i="44"/>
  <c r="E143" i="44"/>
  <c r="F143" i="44"/>
  <c r="G143" i="44"/>
  <c r="H143" i="44"/>
  <c r="C145" i="44"/>
  <c r="D145" i="44"/>
  <c r="E145" i="44"/>
  <c r="F145" i="44"/>
  <c r="G145" i="44"/>
  <c r="H145" i="44"/>
  <c r="C147" i="44"/>
  <c r="D147" i="44"/>
  <c r="E147" i="44"/>
  <c r="F147" i="44"/>
  <c r="G147" i="44"/>
  <c r="H147" i="44"/>
  <c r="C159" i="44"/>
  <c r="D159" i="44"/>
  <c r="E159" i="44"/>
  <c r="F159" i="44"/>
  <c r="G159" i="44"/>
  <c r="H159" i="44"/>
  <c r="C137" i="44"/>
  <c r="D137" i="44"/>
  <c r="E137" i="44"/>
  <c r="F137" i="44"/>
  <c r="G137" i="44"/>
  <c r="H137" i="44"/>
  <c r="K13" i="44"/>
  <c r="P13" i="44" s="1"/>
  <c r="K14" i="44"/>
  <c r="P14" i="44" s="1"/>
  <c r="K15" i="44"/>
  <c r="P15" i="44" s="1"/>
  <c r="K16" i="44"/>
  <c r="P16" i="44" s="1"/>
  <c r="K17" i="44"/>
  <c r="P17" i="44" s="1"/>
  <c r="K18" i="44"/>
  <c r="P18" i="44" s="1"/>
  <c r="K19" i="44"/>
  <c r="P19" i="44" s="1"/>
  <c r="K20" i="44"/>
  <c r="P20" i="44" s="1"/>
  <c r="K21" i="44"/>
  <c r="P21" i="44" s="1"/>
  <c r="K22" i="44"/>
  <c r="P22" i="44" s="1"/>
  <c r="K23" i="44"/>
  <c r="P23" i="44" s="1"/>
  <c r="K24" i="44"/>
  <c r="P24" i="44" s="1"/>
  <c r="K25" i="44"/>
  <c r="P25" i="44" s="1"/>
  <c r="K26" i="44"/>
  <c r="P26" i="44" s="1"/>
  <c r="K27" i="44"/>
  <c r="P27" i="44" s="1"/>
  <c r="K28" i="44"/>
  <c r="P28" i="44" s="1"/>
  <c r="K29" i="44"/>
  <c r="P29" i="44" s="1"/>
  <c r="K30" i="44"/>
  <c r="P30" i="44" s="1"/>
  <c r="K31" i="44"/>
  <c r="P31" i="44" s="1"/>
  <c r="K32" i="44"/>
  <c r="P32" i="44" s="1"/>
  <c r="K33" i="44"/>
  <c r="P33" i="44" s="1"/>
  <c r="K34" i="44"/>
  <c r="P34" i="44" s="1"/>
  <c r="K35" i="44"/>
  <c r="P35" i="44" s="1"/>
  <c r="K36" i="44"/>
  <c r="P36" i="44" s="1"/>
  <c r="K37" i="44"/>
  <c r="P37" i="44" s="1"/>
  <c r="K38" i="44"/>
  <c r="P38" i="44" s="1"/>
  <c r="K39" i="44"/>
  <c r="P39" i="44" s="1"/>
  <c r="K40" i="44"/>
  <c r="P40" i="44" s="1"/>
  <c r="K41" i="44"/>
  <c r="P41" i="44" s="1"/>
  <c r="K42" i="44"/>
  <c r="P42" i="44" s="1"/>
  <c r="K43" i="44"/>
  <c r="P43" i="44" s="1"/>
  <c r="K44" i="44"/>
  <c r="P44" i="44" s="1"/>
  <c r="K45" i="44"/>
  <c r="P45" i="44" s="1"/>
  <c r="K46" i="44"/>
  <c r="P46" i="44" s="1"/>
  <c r="K47" i="44"/>
  <c r="P47" i="44" s="1"/>
  <c r="K48" i="44"/>
  <c r="P48" i="44" s="1"/>
  <c r="K49" i="44"/>
  <c r="P49" i="44" s="1"/>
  <c r="K50" i="44"/>
  <c r="P50" i="44" s="1"/>
  <c r="K51" i="44"/>
  <c r="P51" i="44" s="1"/>
  <c r="K52" i="44"/>
  <c r="P52" i="44" s="1"/>
  <c r="K53" i="44"/>
  <c r="P53" i="44" s="1"/>
  <c r="K54" i="44"/>
  <c r="P54" i="44" s="1"/>
  <c r="K55" i="44"/>
  <c r="P55" i="44" s="1"/>
  <c r="K56" i="44"/>
  <c r="P56" i="44" s="1"/>
  <c r="K57" i="44"/>
  <c r="P57" i="44" s="1"/>
  <c r="K58" i="44"/>
  <c r="P58" i="44" s="1"/>
  <c r="K59" i="44"/>
  <c r="P59" i="44" s="1"/>
  <c r="K60" i="44"/>
  <c r="P60" i="44" s="1"/>
  <c r="K61" i="44"/>
  <c r="P61" i="44" s="1"/>
  <c r="K62" i="44"/>
  <c r="P62" i="44" s="1"/>
  <c r="K63" i="44"/>
  <c r="P63" i="44" s="1"/>
  <c r="K64" i="44"/>
  <c r="P64" i="44" s="1"/>
  <c r="K65" i="44"/>
  <c r="P65" i="44" s="1"/>
  <c r="K66" i="44"/>
  <c r="P66" i="44" s="1"/>
  <c r="K67" i="44"/>
  <c r="P67" i="44" s="1"/>
  <c r="K68" i="44"/>
  <c r="P68" i="44" s="1"/>
  <c r="K69" i="44"/>
  <c r="P69" i="44" s="1"/>
  <c r="K70" i="44"/>
  <c r="P70" i="44" s="1"/>
  <c r="K71" i="44"/>
  <c r="P71" i="44" s="1"/>
  <c r="K72" i="44"/>
  <c r="P72" i="44" s="1"/>
  <c r="K73" i="44"/>
  <c r="P73" i="44" s="1"/>
  <c r="K74" i="44"/>
  <c r="P74" i="44" s="1"/>
  <c r="K75" i="44"/>
  <c r="P75" i="44" s="1"/>
  <c r="K76" i="44"/>
  <c r="P76" i="44" s="1"/>
  <c r="K77" i="44"/>
  <c r="P77" i="44" s="1"/>
  <c r="K78" i="44"/>
  <c r="P78" i="44" s="1"/>
  <c r="K79" i="44"/>
  <c r="P79" i="44" s="1"/>
  <c r="K80" i="44"/>
  <c r="P80" i="44" s="1"/>
  <c r="K81" i="44"/>
  <c r="P81" i="44" s="1"/>
  <c r="K82" i="44"/>
  <c r="P82" i="44" s="1"/>
  <c r="K83" i="44"/>
  <c r="P83" i="44" s="1"/>
  <c r="K84" i="44"/>
  <c r="P84" i="44" s="1"/>
  <c r="K85" i="44"/>
  <c r="P85" i="44" s="1"/>
  <c r="K86" i="44"/>
  <c r="P86" i="44" s="1"/>
  <c r="K87" i="44"/>
  <c r="P87" i="44" s="1"/>
  <c r="K88" i="44"/>
  <c r="P88" i="44" s="1"/>
  <c r="K89" i="44"/>
  <c r="P89" i="44" s="1"/>
  <c r="K90" i="44"/>
  <c r="P90" i="44" s="1"/>
  <c r="K91" i="44"/>
  <c r="P91" i="44" s="1"/>
  <c r="K92" i="44"/>
  <c r="P92" i="44" s="1"/>
  <c r="K93" i="44"/>
  <c r="P93" i="44" s="1"/>
  <c r="K94" i="44"/>
  <c r="P94" i="44" s="1"/>
  <c r="K138" i="44"/>
  <c r="P95" i="44" s="1"/>
  <c r="K139" i="44"/>
  <c r="P96" i="44" s="1"/>
  <c r="K95" i="44"/>
  <c r="P97" i="44" s="1"/>
  <c r="K140" i="44"/>
  <c r="K96" i="44"/>
  <c r="P99" i="44" s="1"/>
  <c r="K97" i="44"/>
  <c r="K98" i="44"/>
  <c r="K99" i="44"/>
  <c r="K100" i="44"/>
  <c r="P103" i="44" s="1"/>
  <c r="K101" i="44"/>
  <c r="K102" i="44"/>
  <c r="K141" i="44"/>
  <c r="K103" i="44"/>
  <c r="P107" i="44" s="1"/>
  <c r="K104" i="44"/>
  <c r="P108" i="44" s="1"/>
  <c r="K105" i="44"/>
  <c r="P109" i="44" s="1"/>
  <c r="K106" i="44"/>
  <c r="P110" i="44" s="1"/>
  <c r="K107" i="44"/>
  <c r="P111" i="44" s="1"/>
  <c r="K108" i="44"/>
  <c r="P112" i="44" s="1"/>
  <c r="K109" i="44"/>
  <c r="P113" i="44" s="1"/>
  <c r="K110" i="44"/>
  <c r="K111" i="44"/>
  <c r="K112" i="44"/>
  <c r="K113" i="44"/>
  <c r="P117" i="44" s="1"/>
  <c r="K114" i="44"/>
  <c r="K115" i="44"/>
  <c r="K116" i="44"/>
  <c r="K117" i="44"/>
  <c r="P121" i="44" s="1"/>
  <c r="K118" i="44"/>
  <c r="K119" i="44"/>
  <c r="K120" i="44"/>
  <c r="K121" i="44"/>
  <c r="P125" i="44" s="1"/>
  <c r="K122" i="44"/>
  <c r="E180" i="44"/>
  <c r="D180" i="44"/>
  <c r="C180" i="44"/>
  <c r="E179" i="44"/>
  <c r="D179" i="44"/>
  <c r="C179" i="44"/>
  <c r="E178" i="44"/>
  <c r="D178" i="44"/>
  <c r="C178" i="44"/>
  <c r="E177" i="44"/>
  <c r="D177" i="44"/>
  <c r="C177" i="44"/>
  <c r="AD73" i="95"/>
  <c r="Y73" i="95"/>
  <c r="T73" i="95"/>
  <c r="O73" i="95"/>
  <c r="J73" i="95"/>
  <c r="E73" i="95"/>
  <c r="AD61" i="95"/>
  <c r="Y61" i="95"/>
  <c r="T61" i="95"/>
  <c r="O61" i="95"/>
  <c r="J61" i="95"/>
  <c r="E61" i="95"/>
  <c r="AS55" i="95"/>
  <c r="AN55" i="95"/>
  <c r="AI55" i="95"/>
  <c r="AD55" i="95"/>
  <c r="Y55" i="95"/>
  <c r="T55" i="95"/>
  <c r="O55" i="95"/>
  <c r="J55" i="95"/>
  <c r="E55" i="95"/>
  <c r="AS49" i="95"/>
  <c r="AN49" i="95"/>
  <c r="AI49" i="95"/>
  <c r="AD49" i="95"/>
  <c r="Y49" i="95"/>
  <c r="T49" i="95"/>
  <c r="O49" i="95"/>
  <c r="J49" i="95"/>
  <c r="E49" i="95"/>
  <c r="AX43" i="95"/>
  <c r="AD43" i="95"/>
  <c r="P124" i="44" l="1"/>
  <c r="P116" i="44"/>
  <c r="P120" i="44"/>
  <c r="P105" i="44"/>
  <c r="P101" i="44"/>
  <c r="P104" i="44"/>
  <c r="P100" i="44"/>
  <c r="P126" i="44"/>
  <c r="P122" i="44"/>
  <c r="P118" i="44"/>
  <c r="P114" i="44"/>
  <c r="P102" i="44"/>
  <c r="P123" i="44"/>
  <c r="P119" i="44"/>
  <c r="P115" i="44"/>
  <c r="P133" i="44"/>
  <c r="P132" i="44"/>
  <c r="P131" i="44"/>
  <c r="P130" i="44"/>
  <c r="P129" i="44"/>
  <c r="P128" i="44"/>
  <c r="P127" i="44"/>
  <c r="P106" i="44"/>
  <c r="P98" i="44"/>
  <c r="AI115" i="95"/>
  <c r="AI109" i="95"/>
  <c r="AI103" i="95"/>
  <c r="AI97" i="95"/>
  <c r="AI91" i="95"/>
  <c r="AI85" i="95"/>
  <c r="AI79" i="95"/>
  <c r="AI43" i="95"/>
  <c r="AI31" i="95"/>
  <c r="AI25" i="95"/>
  <c r="AI19" i="95"/>
  <c r="AI13" i="95"/>
  <c r="AD115" i="95"/>
  <c r="Y115" i="95"/>
  <c r="T115" i="95"/>
  <c r="AD109" i="95"/>
  <c r="Y109" i="95"/>
  <c r="T109" i="95"/>
  <c r="AD103" i="95"/>
  <c r="Y103" i="95"/>
  <c r="T103" i="95"/>
  <c r="AD97" i="95"/>
  <c r="Y97" i="95"/>
  <c r="T97" i="95"/>
  <c r="AD91" i="95"/>
  <c r="Y91" i="95"/>
  <c r="T91" i="95"/>
  <c r="AD85" i="95"/>
  <c r="Y85" i="95"/>
  <c r="T85" i="95"/>
  <c r="AD79" i="95"/>
  <c r="Y79" i="95"/>
  <c r="T79" i="95"/>
  <c r="AD67" i="95"/>
  <c r="Y67" i="95"/>
  <c r="T67" i="95"/>
  <c r="Y43" i="95"/>
  <c r="T43" i="95"/>
  <c r="AD37" i="95"/>
  <c r="Y37" i="95"/>
  <c r="T37" i="95"/>
  <c r="AD31" i="95"/>
  <c r="Y31" i="95"/>
  <c r="T31" i="95"/>
  <c r="AD25" i="95"/>
  <c r="Y25" i="95"/>
  <c r="T25" i="95"/>
  <c r="AD19" i="95"/>
  <c r="Y19" i="95"/>
  <c r="T19" i="95"/>
  <c r="AD13" i="95"/>
  <c r="Y13" i="95"/>
  <c r="T13" i="95"/>
  <c r="AF4" i="95"/>
  <c r="C105" i="76"/>
  <c r="D105" i="76"/>
  <c r="E105" i="76"/>
  <c r="F105" i="76"/>
  <c r="G105" i="76"/>
  <c r="H105" i="76"/>
  <c r="C106" i="76"/>
  <c r="D106" i="76"/>
  <c r="E106" i="76"/>
  <c r="F106" i="76"/>
  <c r="G106" i="76"/>
  <c r="H106" i="76"/>
  <c r="C107" i="76"/>
  <c r="D107" i="76"/>
  <c r="E107" i="76"/>
  <c r="F107" i="76"/>
  <c r="G107" i="76"/>
  <c r="H107" i="76"/>
  <c r="C108" i="76"/>
  <c r="D108" i="76"/>
  <c r="E108" i="76"/>
  <c r="F108" i="76"/>
  <c r="G108" i="76"/>
  <c r="H108" i="76"/>
  <c r="C109" i="76"/>
  <c r="D109" i="76"/>
  <c r="E109" i="76"/>
  <c r="F109" i="76"/>
  <c r="G109" i="76"/>
  <c r="H109" i="76"/>
  <c r="C110" i="76"/>
  <c r="D110" i="76"/>
  <c r="E110" i="76"/>
  <c r="F110" i="76"/>
  <c r="G110" i="76"/>
  <c r="H110" i="76"/>
  <c r="C111" i="76"/>
  <c r="D111" i="76"/>
  <c r="E111" i="76"/>
  <c r="F111" i="76"/>
  <c r="G111" i="76"/>
  <c r="H111" i="76"/>
  <c r="C112" i="76"/>
  <c r="D112" i="76"/>
  <c r="E112" i="76"/>
  <c r="F112" i="76"/>
  <c r="G112" i="76"/>
  <c r="H112" i="76"/>
  <c r="C113" i="76"/>
  <c r="D113" i="76"/>
  <c r="E113" i="76"/>
  <c r="F113" i="76"/>
  <c r="G113" i="76"/>
  <c r="H113" i="76"/>
  <c r="C114" i="76"/>
  <c r="D114" i="76"/>
  <c r="E114" i="76"/>
  <c r="F114" i="76"/>
  <c r="G114" i="76"/>
  <c r="H114" i="76"/>
  <c r="C115" i="76"/>
  <c r="D115" i="76"/>
  <c r="E115" i="76"/>
  <c r="F115" i="76"/>
  <c r="G115" i="76"/>
  <c r="H115" i="76"/>
  <c r="C116" i="76"/>
  <c r="D116" i="76"/>
  <c r="E116" i="76"/>
  <c r="F116" i="76"/>
  <c r="G116" i="76"/>
  <c r="H116" i="76"/>
  <c r="C117" i="76"/>
  <c r="D117" i="76"/>
  <c r="E117" i="76"/>
  <c r="F117" i="76"/>
  <c r="G117" i="76"/>
  <c r="H117" i="76"/>
  <c r="C118" i="76"/>
  <c r="D118" i="76"/>
  <c r="E118" i="76"/>
  <c r="F118" i="76"/>
  <c r="G118" i="76"/>
  <c r="H118" i="76"/>
  <c r="C119" i="76"/>
  <c r="D119" i="76"/>
  <c r="E119" i="76"/>
  <c r="F119" i="76"/>
  <c r="G119" i="76"/>
  <c r="H119" i="76"/>
  <c r="C120" i="76"/>
  <c r="D120" i="76"/>
  <c r="E120" i="76"/>
  <c r="F120" i="76"/>
  <c r="G120" i="76"/>
  <c r="H120" i="76"/>
  <c r="C121" i="76"/>
  <c r="D121" i="76"/>
  <c r="E121" i="76"/>
  <c r="F121" i="76"/>
  <c r="G121" i="76"/>
  <c r="H121" i="76"/>
  <c r="C122" i="76"/>
  <c r="D122" i="76"/>
  <c r="E122" i="76"/>
  <c r="F122" i="76"/>
  <c r="G122" i="76"/>
  <c r="H122" i="76"/>
  <c r="C123" i="76"/>
  <c r="D123" i="76"/>
  <c r="E123" i="76"/>
  <c r="F123" i="76"/>
  <c r="G123" i="76"/>
  <c r="H123" i="76"/>
  <c r="C124" i="76"/>
  <c r="D124" i="76"/>
  <c r="E124" i="76"/>
  <c r="F124" i="76"/>
  <c r="G124" i="76"/>
  <c r="H124" i="76"/>
  <c r="C125" i="76"/>
  <c r="D125" i="76"/>
  <c r="E125" i="76"/>
  <c r="F125" i="76"/>
  <c r="G125" i="76"/>
  <c r="H125" i="76"/>
  <c r="C126" i="76"/>
  <c r="D126" i="76"/>
  <c r="E126" i="76"/>
  <c r="F126" i="76"/>
  <c r="G126" i="76"/>
  <c r="H126" i="76"/>
  <c r="C127" i="76"/>
  <c r="D127" i="76"/>
  <c r="E127" i="76"/>
  <c r="F127" i="76"/>
  <c r="G127" i="76"/>
  <c r="H127" i="76"/>
  <c r="C128" i="76"/>
  <c r="D128" i="76"/>
  <c r="E128" i="76"/>
  <c r="F128" i="76"/>
  <c r="G128" i="76"/>
  <c r="H128" i="76"/>
  <c r="C129" i="76"/>
  <c r="D129" i="76"/>
  <c r="E129" i="76"/>
  <c r="F129" i="76"/>
  <c r="G129" i="76"/>
  <c r="H129" i="76"/>
  <c r="C130" i="76"/>
  <c r="D130" i="76"/>
  <c r="E130" i="76"/>
  <c r="F130" i="76"/>
  <c r="G130" i="76"/>
  <c r="H130" i="76"/>
  <c r="C131" i="76"/>
  <c r="D131" i="76"/>
  <c r="E131" i="76"/>
  <c r="F131" i="76"/>
  <c r="G131" i="76"/>
  <c r="H131" i="76"/>
  <c r="C132" i="76"/>
  <c r="D132" i="76"/>
  <c r="E132" i="76"/>
  <c r="F132" i="76"/>
  <c r="G132" i="76"/>
  <c r="H132" i="76"/>
  <c r="C133" i="76"/>
  <c r="D133" i="76"/>
  <c r="E133" i="76"/>
  <c r="F133" i="76"/>
  <c r="G133" i="76"/>
  <c r="H133" i="76"/>
  <c r="C134" i="76"/>
  <c r="D134" i="76"/>
  <c r="E134" i="76"/>
  <c r="F134" i="76"/>
  <c r="G134" i="76"/>
  <c r="H134" i="76"/>
  <c r="C135" i="76"/>
  <c r="D135" i="76"/>
  <c r="E135" i="76"/>
  <c r="F135" i="76"/>
  <c r="G135" i="76"/>
  <c r="H135" i="76"/>
  <c r="C136" i="76"/>
  <c r="D136" i="76"/>
  <c r="E136" i="76"/>
  <c r="F136" i="76"/>
  <c r="G136" i="76"/>
  <c r="H136" i="76"/>
  <c r="C137" i="76"/>
  <c r="D137" i="76"/>
  <c r="E137" i="76"/>
  <c r="F137" i="76"/>
  <c r="G137" i="76"/>
  <c r="H137" i="76"/>
  <c r="C138" i="76"/>
  <c r="D138" i="76"/>
  <c r="E138" i="76"/>
  <c r="F138" i="76"/>
  <c r="G138" i="76"/>
  <c r="H138" i="76"/>
  <c r="C139" i="76"/>
  <c r="D139" i="76"/>
  <c r="E139" i="76"/>
  <c r="F139" i="76"/>
  <c r="G139" i="76"/>
  <c r="H139" i="76"/>
  <c r="C140" i="76"/>
  <c r="D140" i="76"/>
  <c r="E140" i="76"/>
  <c r="F140" i="76"/>
  <c r="G140" i="76"/>
  <c r="H140" i="76"/>
  <c r="C141" i="76"/>
  <c r="D141" i="76"/>
  <c r="E141" i="76"/>
  <c r="F141" i="76"/>
  <c r="G141" i="76"/>
  <c r="H141" i="76"/>
  <c r="C142" i="76"/>
  <c r="D142" i="76"/>
  <c r="E142" i="76"/>
  <c r="F142" i="76"/>
  <c r="G142" i="76"/>
  <c r="H142" i="76"/>
  <c r="C143" i="76"/>
  <c r="D143" i="76"/>
  <c r="E143" i="76"/>
  <c r="F143" i="76"/>
  <c r="G143" i="76"/>
  <c r="H143" i="76"/>
  <c r="C144" i="76"/>
  <c r="D144" i="76"/>
  <c r="E144" i="76"/>
  <c r="F144" i="76"/>
  <c r="G144" i="76"/>
  <c r="H144" i="76"/>
  <c r="C145" i="76"/>
  <c r="D145" i="76"/>
  <c r="E145" i="76"/>
  <c r="F145" i="76"/>
  <c r="G145" i="76"/>
  <c r="H145" i="76"/>
  <c r="C146" i="76"/>
  <c r="D146" i="76"/>
  <c r="E146" i="76"/>
  <c r="F146" i="76"/>
  <c r="G146" i="76"/>
  <c r="H146" i="76"/>
  <c r="C147" i="76"/>
  <c r="D147" i="76"/>
  <c r="E147" i="76"/>
  <c r="F147" i="76"/>
  <c r="G147" i="76"/>
  <c r="H147" i="76"/>
  <c r="C148" i="76"/>
  <c r="D148" i="76"/>
  <c r="E148" i="76"/>
  <c r="F148" i="76"/>
  <c r="G148" i="76"/>
  <c r="H148" i="76"/>
  <c r="W83" i="93" l="1"/>
  <c r="O83" i="93"/>
  <c r="G83" i="93"/>
  <c r="W68" i="93"/>
  <c r="O68" i="93"/>
  <c r="G68" i="93"/>
  <c r="G53" i="93"/>
  <c r="O53" i="93"/>
  <c r="W53" i="93"/>
  <c r="W38" i="93"/>
  <c r="O38" i="93"/>
  <c r="G38" i="93"/>
  <c r="G23" i="93"/>
  <c r="O23" i="93"/>
  <c r="W23" i="93"/>
  <c r="W8" i="93"/>
  <c r="O8" i="93"/>
  <c r="G8" i="93"/>
  <c r="M23" i="93"/>
  <c r="U83" i="93"/>
  <c r="M83" i="93"/>
  <c r="E83" i="93"/>
  <c r="U68" i="93"/>
  <c r="M68" i="93"/>
  <c r="E68" i="93"/>
  <c r="U53" i="93"/>
  <c r="M53" i="93"/>
  <c r="E53" i="93"/>
  <c r="U38" i="93"/>
  <c r="M38" i="93"/>
  <c r="E38" i="93"/>
  <c r="U23" i="93"/>
  <c r="E23" i="93"/>
  <c r="U8" i="93"/>
  <c r="M8" i="93"/>
  <c r="E8" i="93"/>
  <c r="C62" i="89" l="1"/>
  <c r="D62" i="89"/>
  <c r="E62" i="89"/>
  <c r="C58" i="89"/>
  <c r="D58" i="89"/>
  <c r="E58" i="89"/>
  <c r="C59" i="89"/>
  <c r="D59" i="89"/>
  <c r="E59" i="89"/>
  <c r="C63" i="89"/>
  <c r="D63" i="89"/>
  <c r="E63" i="89"/>
  <c r="C64" i="89"/>
  <c r="D64" i="89"/>
  <c r="E64" i="89"/>
  <c r="C65" i="89"/>
  <c r="D65" i="89"/>
  <c r="E65" i="89"/>
  <c r="C72" i="89"/>
  <c r="C73" i="89"/>
  <c r="D73" i="89"/>
  <c r="E73" i="89"/>
  <c r="C74" i="89"/>
  <c r="D74" i="89"/>
  <c r="E74" i="89"/>
  <c r="C75" i="89"/>
  <c r="D75" i="89"/>
  <c r="E75" i="89"/>
  <c r="C76" i="89"/>
  <c r="D76" i="89"/>
  <c r="E76" i="89"/>
  <c r="C77" i="89"/>
  <c r="D77" i="89"/>
  <c r="E77" i="89"/>
  <c r="C78" i="89"/>
  <c r="D78" i="89"/>
  <c r="E78" i="89"/>
  <c r="C79" i="89"/>
  <c r="D79" i="89"/>
  <c r="E79" i="89"/>
  <c r="C80" i="89"/>
  <c r="D80" i="89"/>
  <c r="E80" i="89"/>
  <c r="F94" i="93" l="1"/>
  <c r="E94" i="93"/>
  <c r="F93" i="93"/>
  <c r="E93" i="93"/>
  <c r="V92" i="93"/>
  <c r="U92" i="93"/>
  <c r="F92" i="93"/>
  <c r="E92" i="93"/>
  <c r="V91" i="93"/>
  <c r="U91" i="93"/>
  <c r="N91" i="93"/>
  <c r="M91" i="93"/>
  <c r="F91" i="93"/>
  <c r="E91" i="93"/>
  <c r="V90" i="93"/>
  <c r="U90" i="93"/>
  <c r="N90" i="93"/>
  <c r="M90" i="93"/>
  <c r="F90" i="93"/>
  <c r="E90" i="93"/>
  <c r="V89" i="93"/>
  <c r="U89" i="93"/>
  <c r="N89" i="93"/>
  <c r="M89" i="93"/>
  <c r="F89" i="93"/>
  <c r="E89" i="93"/>
  <c r="V88" i="93"/>
  <c r="U88" i="93"/>
  <c r="N88" i="93"/>
  <c r="M88" i="93"/>
  <c r="F88" i="93"/>
  <c r="E88" i="93"/>
  <c r="V87" i="93"/>
  <c r="U87" i="93"/>
  <c r="N87" i="93"/>
  <c r="M87" i="93"/>
  <c r="F87" i="93"/>
  <c r="E87" i="93"/>
  <c r="V86" i="93"/>
  <c r="U86" i="93"/>
  <c r="N86" i="93"/>
  <c r="M86" i="93"/>
  <c r="F86" i="93"/>
  <c r="E86" i="93"/>
  <c r="V85" i="93"/>
  <c r="U85" i="93"/>
  <c r="N85" i="93"/>
  <c r="M85" i="93"/>
  <c r="F85" i="93"/>
  <c r="E85" i="93"/>
  <c r="V79" i="93"/>
  <c r="U79" i="93"/>
  <c r="N79" i="93"/>
  <c r="M79" i="93"/>
  <c r="V78" i="93"/>
  <c r="U78" i="93"/>
  <c r="N78" i="93"/>
  <c r="M78" i="93"/>
  <c r="V77" i="93"/>
  <c r="U77" i="93"/>
  <c r="N77" i="93"/>
  <c r="M77" i="93"/>
  <c r="V76" i="93"/>
  <c r="U76" i="93"/>
  <c r="N76" i="93"/>
  <c r="M76" i="93"/>
  <c r="F76" i="93"/>
  <c r="E76" i="93"/>
  <c r="V75" i="93"/>
  <c r="U75" i="93"/>
  <c r="N75" i="93"/>
  <c r="M75" i="93"/>
  <c r="F75" i="93"/>
  <c r="E75" i="93"/>
  <c r="V74" i="93"/>
  <c r="U74" i="93"/>
  <c r="N74" i="93"/>
  <c r="M74" i="93"/>
  <c r="F74" i="93"/>
  <c r="E74" i="93"/>
  <c r="V73" i="93"/>
  <c r="U73" i="93"/>
  <c r="N73" i="93"/>
  <c r="M73" i="93"/>
  <c r="F73" i="93"/>
  <c r="E73" i="93"/>
  <c r="V72" i="93"/>
  <c r="U72" i="93"/>
  <c r="N72" i="93"/>
  <c r="M72" i="93"/>
  <c r="F72" i="93"/>
  <c r="E72" i="93"/>
  <c r="V71" i="93"/>
  <c r="U71" i="93"/>
  <c r="N71" i="93"/>
  <c r="M71" i="93"/>
  <c r="F71" i="93"/>
  <c r="E71" i="93"/>
  <c r="V70" i="93"/>
  <c r="U70" i="93"/>
  <c r="N70" i="93"/>
  <c r="M70" i="93"/>
  <c r="F70" i="93"/>
  <c r="E70" i="93"/>
  <c r="V63" i="93"/>
  <c r="U63" i="93"/>
  <c r="V62" i="93"/>
  <c r="U62" i="93"/>
  <c r="V61" i="93"/>
  <c r="U61" i="93"/>
  <c r="V60" i="93"/>
  <c r="U60" i="93"/>
  <c r="N60" i="93"/>
  <c r="M60" i="93"/>
  <c r="F60" i="93"/>
  <c r="E60" i="93"/>
  <c r="V59" i="93"/>
  <c r="U59" i="93"/>
  <c r="N59" i="93"/>
  <c r="M59" i="93"/>
  <c r="F59" i="93"/>
  <c r="E59" i="93"/>
  <c r="V58" i="93"/>
  <c r="U58" i="93"/>
  <c r="N58" i="93"/>
  <c r="M58" i="93"/>
  <c r="F58" i="93"/>
  <c r="E58" i="93"/>
  <c r="V57" i="93"/>
  <c r="U57" i="93"/>
  <c r="N57" i="93"/>
  <c r="M57" i="93"/>
  <c r="F57" i="93"/>
  <c r="E57" i="93"/>
  <c r="V56" i="93"/>
  <c r="U56" i="93"/>
  <c r="N56" i="93"/>
  <c r="M56" i="93"/>
  <c r="F56" i="93"/>
  <c r="E56" i="93"/>
  <c r="V55" i="93"/>
  <c r="U55" i="93"/>
  <c r="N55" i="93"/>
  <c r="M55" i="93"/>
  <c r="F55" i="93"/>
  <c r="E55" i="93"/>
  <c r="N48" i="93"/>
  <c r="M48" i="93"/>
  <c r="F48" i="93"/>
  <c r="E48" i="93"/>
  <c r="N47" i="93"/>
  <c r="M47" i="93"/>
  <c r="F47" i="93"/>
  <c r="E47" i="93"/>
  <c r="N46" i="93"/>
  <c r="M46" i="93"/>
  <c r="F46" i="93"/>
  <c r="E46" i="93"/>
  <c r="V45" i="93"/>
  <c r="U45" i="93"/>
  <c r="N45" i="93"/>
  <c r="M45" i="93"/>
  <c r="F45" i="93"/>
  <c r="E45" i="93"/>
  <c r="V44" i="93"/>
  <c r="U44" i="93"/>
  <c r="N44" i="93"/>
  <c r="M44" i="93"/>
  <c r="F44" i="93"/>
  <c r="E44" i="93"/>
  <c r="V43" i="93"/>
  <c r="U43" i="93"/>
  <c r="N43" i="93"/>
  <c r="M43" i="93"/>
  <c r="F43" i="93"/>
  <c r="E43" i="93"/>
  <c r="V42" i="93"/>
  <c r="U42" i="93"/>
  <c r="N42" i="93"/>
  <c r="M42" i="93"/>
  <c r="F42" i="93"/>
  <c r="E42" i="93"/>
  <c r="V41" i="93"/>
  <c r="U41" i="93"/>
  <c r="N41" i="93"/>
  <c r="M41" i="93"/>
  <c r="F41" i="93"/>
  <c r="E41" i="93"/>
  <c r="V40" i="93"/>
  <c r="U40" i="93"/>
  <c r="N40" i="93"/>
  <c r="M40" i="93"/>
  <c r="F40" i="93"/>
  <c r="E40" i="93"/>
  <c r="V34" i="93"/>
  <c r="U34" i="93"/>
  <c r="F34" i="93"/>
  <c r="E34" i="93"/>
  <c r="V33" i="93"/>
  <c r="U33" i="93"/>
  <c r="F33" i="93"/>
  <c r="E33" i="93"/>
  <c r="V32" i="93"/>
  <c r="U32" i="93"/>
  <c r="F32" i="93"/>
  <c r="E32" i="93"/>
  <c r="V31" i="93"/>
  <c r="U31" i="93"/>
  <c r="F31" i="93"/>
  <c r="E31" i="93"/>
  <c r="V30" i="93"/>
  <c r="U30" i="93"/>
  <c r="N30" i="93"/>
  <c r="M30" i="93"/>
  <c r="F30" i="93"/>
  <c r="E30" i="93"/>
  <c r="V29" i="93"/>
  <c r="U29" i="93"/>
  <c r="N29" i="93"/>
  <c r="M29" i="93"/>
  <c r="F29" i="93"/>
  <c r="E29" i="93"/>
  <c r="V28" i="93"/>
  <c r="U28" i="93"/>
  <c r="N28" i="93"/>
  <c r="M28" i="93"/>
  <c r="F28" i="93"/>
  <c r="E28" i="93"/>
  <c r="V27" i="93"/>
  <c r="U27" i="93"/>
  <c r="N27" i="93"/>
  <c r="M27" i="93"/>
  <c r="F27" i="93"/>
  <c r="E27" i="93"/>
  <c r="V26" i="93"/>
  <c r="U26" i="93"/>
  <c r="N26" i="93"/>
  <c r="M26" i="93"/>
  <c r="F26" i="93"/>
  <c r="E26" i="93"/>
  <c r="V25" i="93"/>
  <c r="U25" i="93"/>
  <c r="N25" i="93"/>
  <c r="M25" i="93"/>
  <c r="F25" i="93"/>
  <c r="E25" i="93"/>
  <c r="U13" i="93"/>
  <c r="V13" i="93"/>
  <c r="U14" i="93"/>
  <c r="V14" i="93"/>
  <c r="U15" i="93"/>
  <c r="V15" i="93"/>
  <c r="U16" i="93"/>
  <c r="V16" i="93"/>
  <c r="M12" i="93"/>
  <c r="N12" i="93"/>
  <c r="M13" i="93"/>
  <c r="N13" i="93"/>
  <c r="M14" i="93"/>
  <c r="N14" i="93"/>
  <c r="M15" i="93"/>
  <c r="N15" i="93"/>
  <c r="M16" i="93"/>
  <c r="N16" i="93"/>
  <c r="M17" i="93"/>
  <c r="N17" i="93"/>
  <c r="M18" i="93"/>
  <c r="N18" i="93"/>
  <c r="M19" i="93"/>
  <c r="N19" i="93"/>
  <c r="E14" i="93"/>
  <c r="F14" i="93"/>
  <c r="E15" i="93"/>
  <c r="F15" i="93"/>
  <c r="E16" i="93"/>
  <c r="F16" i="93"/>
  <c r="E17" i="93"/>
  <c r="F17" i="93"/>
  <c r="B160" i="91" l="1"/>
  <c r="B160" i="50"/>
  <c r="W4" i="93"/>
  <c r="A3" i="47"/>
  <c r="A4" i="50"/>
  <c r="C4" i="93"/>
  <c r="A3" i="50"/>
  <c r="A3" i="76"/>
  <c r="B3" i="95"/>
  <c r="BB1" i="95" s="1"/>
  <c r="B3" i="90"/>
  <c r="A3" i="89"/>
  <c r="AB5" i="89" s="1"/>
  <c r="A3" i="91"/>
  <c r="A3" i="44"/>
  <c r="AH3" i="47"/>
  <c r="A4" i="76"/>
  <c r="AB12" i="89"/>
  <c r="A4" i="91"/>
  <c r="Z36" i="95"/>
  <c r="K11" i="44"/>
  <c r="V1" i="89" l="1"/>
  <c r="X3" i="89"/>
  <c r="C162" i="91"/>
  <c r="K3" i="76"/>
  <c r="H59" i="76"/>
  <c r="H60" i="76"/>
  <c r="H80" i="76"/>
  <c r="H81" i="76"/>
  <c r="H92" i="76"/>
  <c r="H93" i="76"/>
  <c r="I117" i="91"/>
  <c r="AX31" i="95"/>
  <c r="B5" i="95"/>
  <c r="AN115" i="95"/>
  <c r="O115" i="95"/>
  <c r="J115" i="95"/>
  <c r="E115" i="95"/>
  <c r="O109" i="95"/>
  <c r="J109" i="95"/>
  <c r="E109" i="95"/>
  <c r="AX103" i="95"/>
  <c r="AS103" i="95"/>
  <c r="AN103" i="95"/>
  <c r="O103" i="95"/>
  <c r="J103" i="95"/>
  <c r="E103" i="95"/>
  <c r="AX97" i="95"/>
  <c r="AS97" i="95"/>
  <c r="AN97" i="95"/>
  <c r="O97" i="95"/>
  <c r="J97" i="95"/>
  <c r="E97" i="95"/>
  <c r="AX91" i="95"/>
  <c r="AS91" i="95"/>
  <c r="AN91" i="95"/>
  <c r="O91" i="95"/>
  <c r="J91" i="95"/>
  <c r="E91" i="95"/>
  <c r="O85" i="95"/>
  <c r="J85" i="95"/>
  <c r="E85" i="95"/>
  <c r="AS79" i="95"/>
  <c r="AN79" i="95"/>
  <c r="O79" i="95"/>
  <c r="J79" i="95"/>
  <c r="E79" i="95"/>
  <c r="O67" i="95"/>
  <c r="J67" i="95"/>
  <c r="E67" i="95"/>
  <c r="AS43" i="95"/>
  <c r="AN43" i="95"/>
  <c r="O43" i="95"/>
  <c r="J43" i="95"/>
  <c r="E43" i="95"/>
  <c r="O37" i="95"/>
  <c r="J37" i="95"/>
  <c r="E37" i="95"/>
  <c r="AS31" i="95"/>
  <c r="AN31" i="95"/>
  <c r="O31" i="95"/>
  <c r="J31" i="95"/>
  <c r="E31" i="95"/>
  <c r="O25" i="95"/>
  <c r="J25" i="95"/>
  <c r="E25" i="95"/>
  <c r="AX19" i="95"/>
  <c r="AS19" i="95"/>
  <c r="AN19" i="95"/>
  <c r="O19" i="95"/>
  <c r="J19" i="95"/>
  <c r="E19" i="95"/>
  <c r="M117" i="91"/>
  <c r="AN13" i="95"/>
  <c r="O13" i="95"/>
  <c r="J13" i="95"/>
  <c r="E13" i="95"/>
  <c r="A5" i="89"/>
  <c r="D12" i="90"/>
  <c r="AD28" i="90"/>
  <c r="AD29" i="90"/>
  <c r="AD13" i="90"/>
  <c r="AD12" i="90"/>
  <c r="D15" i="90"/>
  <c r="D25" i="90"/>
  <c r="AD24" i="90"/>
  <c r="D14" i="90"/>
  <c r="AD19" i="90"/>
  <c r="T3" i="89"/>
  <c r="E167" i="91"/>
  <c r="E164" i="91"/>
  <c r="E165" i="91"/>
  <c r="E166" i="91"/>
  <c r="K3" i="91"/>
  <c r="K3" i="44"/>
  <c r="AO15" i="47"/>
  <c r="AP15" i="47"/>
  <c r="AO16" i="47"/>
  <c r="AP16" i="47"/>
  <c r="AE4" i="90"/>
  <c r="B5" i="90"/>
  <c r="W3" i="93"/>
  <c r="T12" i="44"/>
  <c r="C171" i="44"/>
  <c r="C168" i="44"/>
  <c r="D168" i="44"/>
  <c r="E168" i="44"/>
  <c r="C174" i="44"/>
  <c r="D174" i="44"/>
  <c r="E174" i="44"/>
  <c r="J113" i="44"/>
  <c r="J77" i="44"/>
  <c r="J98" i="44"/>
  <c r="J34" i="44"/>
  <c r="J102" i="44"/>
  <c r="J110" i="44"/>
  <c r="J89" i="44"/>
  <c r="J55" i="44"/>
  <c r="J112" i="44"/>
  <c r="J82" i="44"/>
  <c r="C27" i="44"/>
  <c r="D27" i="44"/>
  <c r="E27" i="44"/>
  <c r="F27" i="44"/>
  <c r="G27" i="44"/>
  <c r="H27" i="44"/>
  <c r="K12" i="44"/>
  <c r="K4" i="76"/>
  <c r="A5" i="76"/>
  <c r="A5" i="44"/>
  <c r="B2" i="93"/>
  <c r="B1" i="93"/>
  <c r="B5" i="93"/>
  <c r="F13" i="93"/>
  <c r="E13" i="93"/>
  <c r="V12" i="93"/>
  <c r="U12" i="93"/>
  <c r="F12" i="93"/>
  <c r="E12" i="93"/>
  <c r="V11" i="93"/>
  <c r="U11" i="93"/>
  <c r="N11" i="93"/>
  <c r="M11" i="93"/>
  <c r="F11" i="93"/>
  <c r="E11" i="93"/>
  <c r="V10" i="93"/>
  <c r="U10" i="93"/>
  <c r="N10" i="93"/>
  <c r="M10" i="93"/>
  <c r="F10" i="93"/>
  <c r="E10" i="93"/>
  <c r="A5" i="50"/>
  <c r="C16" i="89"/>
  <c r="D16" i="89"/>
  <c r="E16" i="89"/>
  <c r="C20" i="89"/>
  <c r="D20" i="89"/>
  <c r="E20" i="89"/>
  <c r="C29" i="89"/>
  <c r="D29" i="89"/>
  <c r="E29" i="89"/>
  <c r="C2" i="25"/>
  <c r="C3" i="25" s="1"/>
  <c r="C4" i="25" s="1"/>
  <c r="C5" i="25" s="1"/>
  <c r="H141" i="91"/>
  <c r="G141" i="91"/>
  <c r="F141" i="91"/>
  <c r="E141" i="91"/>
  <c r="D141" i="91"/>
  <c r="C141" i="91"/>
  <c r="H76" i="91"/>
  <c r="G76" i="91"/>
  <c r="F76" i="91"/>
  <c r="E76" i="91"/>
  <c r="D76" i="91"/>
  <c r="C76" i="91"/>
  <c r="H148" i="91"/>
  <c r="G148" i="91"/>
  <c r="F148" i="91"/>
  <c r="E148" i="91"/>
  <c r="D148" i="91"/>
  <c r="C148" i="91"/>
  <c r="H26" i="91"/>
  <c r="G26" i="91"/>
  <c r="F26" i="91"/>
  <c r="E26" i="91"/>
  <c r="D26" i="91"/>
  <c r="C26" i="91"/>
  <c r="H79" i="91"/>
  <c r="G79" i="91"/>
  <c r="F79" i="91"/>
  <c r="E79" i="91"/>
  <c r="D79" i="91"/>
  <c r="C79" i="91"/>
  <c r="H48" i="91"/>
  <c r="G48" i="91"/>
  <c r="F48" i="91"/>
  <c r="E48" i="91"/>
  <c r="D48" i="91"/>
  <c r="C48" i="91"/>
  <c r="H120" i="91"/>
  <c r="G120" i="91"/>
  <c r="F120" i="91"/>
  <c r="E120" i="91"/>
  <c r="D120" i="91"/>
  <c r="C120" i="91"/>
  <c r="H68" i="91"/>
  <c r="G68" i="91"/>
  <c r="F68" i="91"/>
  <c r="E68" i="91"/>
  <c r="D68" i="91"/>
  <c r="C68" i="91"/>
  <c r="H122" i="91"/>
  <c r="G122" i="91"/>
  <c r="F122" i="91"/>
  <c r="E122" i="91"/>
  <c r="D122" i="91"/>
  <c r="C122" i="91"/>
  <c r="H144" i="91"/>
  <c r="G144" i="91"/>
  <c r="F144" i="91"/>
  <c r="E144" i="91"/>
  <c r="D144" i="91"/>
  <c r="C144" i="91"/>
  <c r="H78" i="91"/>
  <c r="G78" i="91"/>
  <c r="F78" i="91"/>
  <c r="E78" i="91"/>
  <c r="D78" i="91"/>
  <c r="C78" i="91"/>
  <c r="H64" i="91"/>
  <c r="G64" i="91"/>
  <c r="F64" i="91"/>
  <c r="E64" i="91"/>
  <c r="D64" i="91"/>
  <c r="C64" i="91"/>
  <c r="H22" i="91"/>
  <c r="G22" i="91"/>
  <c r="F22" i="91"/>
  <c r="E22" i="91"/>
  <c r="D22" i="91"/>
  <c r="C22" i="91"/>
  <c r="H25" i="91"/>
  <c r="G25" i="91"/>
  <c r="F25" i="91"/>
  <c r="E25" i="91"/>
  <c r="D25" i="91"/>
  <c r="C25" i="91"/>
  <c r="H55" i="91"/>
  <c r="G55" i="91"/>
  <c r="F55" i="91"/>
  <c r="E55" i="91"/>
  <c r="D55" i="91"/>
  <c r="C55" i="91"/>
  <c r="H130" i="91"/>
  <c r="G130" i="91"/>
  <c r="F130" i="91"/>
  <c r="E130" i="91"/>
  <c r="D130" i="91"/>
  <c r="C130" i="91"/>
  <c r="H105" i="91"/>
  <c r="G105" i="91"/>
  <c r="F105" i="91"/>
  <c r="E105" i="91"/>
  <c r="D105" i="91"/>
  <c r="C105" i="91"/>
  <c r="H38" i="91"/>
  <c r="G38" i="91"/>
  <c r="F38" i="91"/>
  <c r="E38" i="91"/>
  <c r="D38" i="91"/>
  <c r="C38" i="91"/>
  <c r="H75" i="91"/>
  <c r="G75" i="91"/>
  <c r="F75" i="91"/>
  <c r="E75" i="91"/>
  <c r="D75" i="91"/>
  <c r="C75" i="91"/>
  <c r="H84" i="91"/>
  <c r="G84" i="91"/>
  <c r="F84" i="91"/>
  <c r="E84" i="91"/>
  <c r="D84" i="91"/>
  <c r="C84" i="91"/>
  <c r="H138" i="91"/>
  <c r="G138" i="91"/>
  <c r="F138" i="91"/>
  <c r="E138" i="91"/>
  <c r="D138" i="91"/>
  <c r="C138" i="91"/>
  <c r="H21" i="91"/>
  <c r="G21" i="91"/>
  <c r="F21" i="91"/>
  <c r="E21" i="91"/>
  <c r="D21" i="91"/>
  <c r="C21" i="91"/>
  <c r="H37" i="91"/>
  <c r="G37" i="91"/>
  <c r="F37" i="91"/>
  <c r="E37" i="91"/>
  <c r="D37" i="91"/>
  <c r="C37" i="91"/>
  <c r="H87" i="91"/>
  <c r="G87" i="91"/>
  <c r="F87" i="91"/>
  <c r="E87" i="91"/>
  <c r="D87" i="91"/>
  <c r="C87" i="91"/>
  <c r="H50" i="91"/>
  <c r="G50" i="91"/>
  <c r="F50" i="91"/>
  <c r="E50" i="91"/>
  <c r="D50" i="91"/>
  <c r="C50" i="91"/>
  <c r="H57" i="91"/>
  <c r="G57" i="91"/>
  <c r="F57" i="91"/>
  <c r="E57" i="91"/>
  <c r="D57" i="91"/>
  <c r="C57" i="91"/>
  <c r="H121" i="91"/>
  <c r="G121" i="91"/>
  <c r="F121" i="91"/>
  <c r="E121" i="91"/>
  <c r="D121" i="91"/>
  <c r="C121" i="91"/>
  <c r="H125" i="91"/>
  <c r="G125" i="91"/>
  <c r="F125" i="91"/>
  <c r="E125" i="91"/>
  <c r="D125" i="91"/>
  <c r="C125" i="91"/>
  <c r="H49" i="91"/>
  <c r="G49" i="91"/>
  <c r="F49" i="91"/>
  <c r="E49" i="91"/>
  <c r="D49" i="91"/>
  <c r="C49" i="91"/>
  <c r="H31" i="91"/>
  <c r="G31" i="91"/>
  <c r="F31" i="91"/>
  <c r="E31" i="91"/>
  <c r="D31" i="91"/>
  <c r="C31" i="91"/>
  <c r="H139" i="91"/>
  <c r="G139" i="91"/>
  <c r="F139" i="91"/>
  <c r="E139" i="91"/>
  <c r="D139" i="91"/>
  <c r="C139" i="91"/>
  <c r="H24" i="91"/>
  <c r="G24" i="91"/>
  <c r="F24" i="91"/>
  <c r="E24" i="91"/>
  <c r="D24" i="91"/>
  <c r="C24" i="91"/>
  <c r="H51" i="91"/>
  <c r="G51" i="91"/>
  <c r="F51" i="91"/>
  <c r="E51" i="91"/>
  <c r="D51" i="91"/>
  <c r="C51" i="91"/>
  <c r="H95" i="91"/>
  <c r="G95" i="91"/>
  <c r="F95" i="91"/>
  <c r="E95" i="91"/>
  <c r="D95" i="91"/>
  <c r="C95" i="91"/>
  <c r="H83" i="91"/>
  <c r="G83" i="91"/>
  <c r="F83" i="91"/>
  <c r="E83" i="91"/>
  <c r="D83" i="91"/>
  <c r="C83" i="91"/>
  <c r="H152" i="91"/>
  <c r="G152" i="91"/>
  <c r="F152" i="91"/>
  <c r="E152" i="91"/>
  <c r="D152" i="91"/>
  <c r="C152" i="91"/>
  <c r="H46" i="91"/>
  <c r="G46" i="91"/>
  <c r="F46" i="91"/>
  <c r="E46" i="91"/>
  <c r="D46" i="91"/>
  <c r="C46" i="91"/>
  <c r="H17" i="91"/>
  <c r="G17" i="91"/>
  <c r="F17" i="91"/>
  <c r="E17" i="91"/>
  <c r="D17" i="91"/>
  <c r="C17" i="91"/>
  <c r="H56" i="91"/>
  <c r="G56" i="91"/>
  <c r="F56" i="91"/>
  <c r="E56" i="91"/>
  <c r="D56" i="91"/>
  <c r="C56" i="91"/>
  <c r="H14" i="91"/>
  <c r="G14" i="91"/>
  <c r="F14" i="91"/>
  <c r="E14" i="91"/>
  <c r="D14" i="91"/>
  <c r="C14" i="91"/>
  <c r="H106" i="91"/>
  <c r="G106" i="91"/>
  <c r="F106" i="91"/>
  <c r="E106" i="91"/>
  <c r="D106" i="91"/>
  <c r="C106" i="91"/>
  <c r="H104" i="91"/>
  <c r="G104" i="91"/>
  <c r="F104" i="91"/>
  <c r="E104" i="91"/>
  <c r="D104" i="91"/>
  <c r="C104" i="91"/>
  <c r="H44" i="91"/>
  <c r="G44" i="91"/>
  <c r="F44" i="91"/>
  <c r="E44" i="91"/>
  <c r="D44" i="91"/>
  <c r="C44" i="91"/>
  <c r="H154" i="91"/>
  <c r="G154" i="91"/>
  <c r="F154" i="91"/>
  <c r="E154" i="91"/>
  <c r="D154" i="91"/>
  <c r="C154" i="91"/>
  <c r="H102" i="91"/>
  <c r="G102" i="91"/>
  <c r="F102" i="91"/>
  <c r="E102" i="91"/>
  <c r="D102" i="91"/>
  <c r="C102" i="91"/>
  <c r="H40" i="91"/>
  <c r="G40" i="91"/>
  <c r="F40" i="91"/>
  <c r="E40" i="91"/>
  <c r="D40" i="91"/>
  <c r="C40" i="91"/>
  <c r="H35" i="91"/>
  <c r="G35" i="91"/>
  <c r="F35" i="91"/>
  <c r="E35" i="91"/>
  <c r="D35" i="91"/>
  <c r="C35" i="91"/>
  <c r="H34" i="91"/>
  <c r="G34" i="91"/>
  <c r="F34" i="91"/>
  <c r="E34" i="91"/>
  <c r="D34" i="91"/>
  <c r="C34" i="91"/>
  <c r="H67" i="91"/>
  <c r="G67" i="91"/>
  <c r="F67" i="91"/>
  <c r="E67" i="91"/>
  <c r="D67" i="91"/>
  <c r="C67" i="91"/>
  <c r="H72" i="91"/>
  <c r="G72" i="91"/>
  <c r="F72" i="91"/>
  <c r="E72" i="91"/>
  <c r="D72" i="91"/>
  <c r="C72" i="91"/>
  <c r="H131" i="91"/>
  <c r="G131" i="91"/>
  <c r="F131" i="91"/>
  <c r="E131" i="91"/>
  <c r="D131" i="91"/>
  <c r="C131" i="91"/>
  <c r="H19" i="91"/>
  <c r="G19" i="91"/>
  <c r="F19" i="91"/>
  <c r="E19" i="91"/>
  <c r="D19" i="91"/>
  <c r="C19" i="91"/>
  <c r="H30" i="91"/>
  <c r="G30" i="91"/>
  <c r="F30" i="91"/>
  <c r="E30" i="91"/>
  <c r="D30" i="91"/>
  <c r="C30" i="91"/>
  <c r="H93" i="91"/>
  <c r="G93" i="91"/>
  <c r="F93" i="91"/>
  <c r="E93" i="91"/>
  <c r="D93" i="91"/>
  <c r="C93" i="91"/>
  <c r="H29" i="91"/>
  <c r="G29" i="91"/>
  <c r="F29" i="91"/>
  <c r="E29" i="91"/>
  <c r="D29" i="91"/>
  <c r="C29" i="91"/>
  <c r="H114" i="91"/>
  <c r="G114" i="91"/>
  <c r="F114" i="91"/>
  <c r="E114" i="91"/>
  <c r="D114" i="91"/>
  <c r="C114" i="91"/>
  <c r="H33" i="91"/>
  <c r="G33" i="91"/>
  <c r="F33" i="91"/>
  <c r="E33" i="91"/>
  <c r="D33" i="91"/>
  <c r="C33" i="91"/>
  <c r="H66" i="91"/>
  <c r="G66" i="91"/>
  <c r="F66" i="91"/>
  <c r="E66" i="91"/>
  <c r="D66" i="91"/>
  <c r="C66" i="91"/>
  <c r="H27" i="91"/>
  <c r="G27" i="91"/>
  <c r="F27" i="91"/>
  <c r="E27" i="91"/>
  <c r="D27" i="91"/>
  <c r="C27" i="91"/>
  <c r="H47" i="91"/>
  <c r="G47" i="91"/>
  <c r="F47" i="91"/>
  <c r="E47" i="91"/>
  <c r="D47" i="91"/>
  <c r="C47" i="91"/>
  <c r="H61" i="91"/>
  <c r="G61" i="91"/>
  <c r="F61" i="91"/>
  <c r="E61" i="91"/>
  <c r="D61" i="91"/>
  <c r="C61" i="91"/>
  <c r="H123" i="91"/>
  <c r="G123" i="91"/>
  <c r="F123" i="91"/>
  <c r="E123" i="91"/>
  <c r="D123" i="91"/>
  <c r="C123" i="91"/>
  <c r="H153" i="91"/>
  <c r="G153" i="91"/>
  <c r="F153" i="91"/>
  <c r="E153" i="91"/>
  <c r="D153" i="91"/>
  <c r="C153" i="91"/>
  <c r="H98" i="91"/>
  <c r="G98" i="91"/>
  <c r="F98" i="91"/>
  <c r="E98" i="91"/>
  <c r="D98" i="91"/>
  <c r="C98" i="91"/>
  <c r="H99" i="91"/>
  <c r="G99" i="91"/>
  <c r="F99" i="91"/>
  <c r="E99" i="91"/>
  <c r="D99" i="91"/>
  <c r="C99" i="91"/>
  <c r="H12" i="91"/>
  <c r="G12" i="91"/>
  <c r="F12" i="91"/>
  <c r="E12" i="91"/>
  <c r="D12" i="91"/>
  <c r="C12" i="91"/>
  <c r="H127" i="91"/>
  <c r="G127" i="91"/>
  <c r="F127" i="91"/>
  <c r="E127" i="91"/>
  <c r="D127" i="91"/>
  <c r="C127" i="91"/>
  <c r="H94" i="91"/>
  <c r="G94" i="91"/>
  <c r="F94" i="91"/>
  <c r="E94" i="91"/>
  <c r="D94" i="91"/>
  <c r="C94" i="91"/>
  <c r="H36" i="91"/>
  <c r="G36" i="91"/>
  <c r="F36" i="91"/>
  <c r="E36" i="91"/>
  <c r="D36" i="91"/>
  <c r="C36" i="91"/>
  <c r="H151" i="91"/>
  <c r="G151" i="91"/>
  <c r="F151" i="91"/>
  <c r="E151" i="91"/>
  <c r="D151" i="91"/>
  <c r="C151" i="91"/>
  <c r="H150" i="91"/>
  <c r="G150" i="91"/>
  <c r="F150" i="91"/>
  <c r="E150" i="91"/>
  <c r="D150" i="91"/>
  <c r="C150" i="91"/>
  <c r="H149" i="91"/>
  <c r="G149" i="91"/>
  <c r="F149" i="91"/>
  <c r="E149" i="91"/>
  <c r="D149" i="91"/>
  <c r="C149" i="91"/>
  <c r="H88" i="91"/>
  <c r="G88" i="91"/>
  <c r="F88" i="91"/>
  <c r="E88" i="91"/>
  <c r="D88" i="91"/>
  <c r="C88" i="91"/>
  <c r="H86" i="91"/>
  <c r="G86" i="91"/>
  <c r="F86" i="91"/>
  <c r="E86" i="91"/>
  <c r="D86" i="91"/>
  <c r="C86" i="91"/>
  <c r="H129" i="91"/>
  <c r="G129" i="91"/>
  <c r="F129" i="91"/>
  <c r="E129" i="91"/>
  <c r="D129" i="91"/>
  <c r="C129" i="91"/>
  <c r="H73" i="91"/>
  <c r="G73" i="91"/>
  <c r="F73" i="91"/>
  <c r="E73" i="91"/>
  <c r="D73" i="91"/>
  <c r="C73" i="91"/>
  <c r="H54" i="91"/>
  <c r="G54" i="91"/>
  <c r="F54" i="91"/>
  <c r="E54" i="91"/>
  <c r="D54" i="91"/>
  <c r="C54" i="91"/>
  <c r="H16" i="91"/>
  <c r="G16" i="91"/>
  <c r="F16" i="91"/>
  <c r="E16" i="91"/>
  <c r="D16" i="91"/>
  <c r="C16" i="91"/>
  <c r="H41" i="91"/>
  <c r="G41" i="91"/>
  <c r="F41" i="91"/>
  <c r="E41" i="91"/>
  <c r="D41" i="91"/>
  <c r="C41" i="91"/>
  <c r="H70" i="91"/>
  <c r="G70" i="91"/>
  <c r="F70" i="91"/>
  <c r="E70" i="91"/>
  <c r="D70" i="91"/>
  <c r="C70" i="91"/>
  <c r="H89" i="91"/>
  <c r="G89" i="91"/>
  <c r="F89" i="91"/>
  <c r="E89" i="91"/>
  <c r="D89" i="91"/>
  <c r="C89" i="91"/>
  <c r="H128" i="91"/>
  <c r="G128" i="91"/>
  <c r="F128" i="91"/>
  <c r="E128" i="91"/>
  <c r="D128" i="91"/>
  <c r="C128" i="91"/>
  <c r="H32" i="91"/>
  <c r="G32" i="91"/>
  <c r="F32" i="91"/>
  <c r="E32" i="91"/>
  <c r="D32" i="91"/>
  <c r="C32" i="91"/>
  <c r="H118" i="91"/>
  <c r="G118" i="91"/>
  <c r="F118" i="91"/>
  <c r="E118" i="91"/>
  <c r="D118" i="91"/>
  <c r="C118" i="91"/>
  <c r="H92" i="91"/>
  <c r="G92" i="91"/>
  <c r="F92" i="91"/>
  <c r="E92" i="91"/>
  <c r="D92" i="91"/>
  <c r="C92" i="91"/>
  <c r="H90" i="91"/>
  <c r="G90" i="91"/>
  <c r="F90" i="91"/>
  <c r="E90" i="91"/>
  <c r="D90" i="91"/>
  <c r="C90" i="91"/>
  <c r="H132" i="91"/>
  <c r="G132" i="91"/>
  <c r="F132" i="91"/>
  <c r="E132" i="91"/>
  <c r="D132" i="91"/>
  <c r="C132" i="91"/>
  <c r="H63" i="91"/>
  <c r="G63" i="91"/>
  <c r="F63" i="91"/>
  <c r="E63" i="91"/>
  <c r="D63" i="91"/>
  <c r="C63" i="91"/>
  <c r="H134" i="91"/>
  <c r="G134" i="91"/>
  <c r="F134" i="91"/>
  <c r="E134" i="91"/>
  <c r="D134" i="91"/>
  <c r="C134" i="91"/>
  <c r="H103" i="91"/>
  <c r="G103" i="91"/>
  <c r="F103" i="91"/>
  <c r="E103" i="91"/>
  <c r="D103" i="91"/>
  <c r="C103" i="91"/>
  <c r="H82" i="91"/>
  <c r="G82" i="91"/>
  <c r="F82" i="91"/>
  <c r="E82" i="91"/>
  <c r="D82" i="91"/>
  <c r="C82" i="91"/>
  <c r="H58" i="91"/>
  <c r="G58" i="91"/>
  <c r="F58" i="91"/>
  <c r="E58" i="91"/>
  <c r="D58" i="91"/>
  <c r="C58" i="91"/>
  <c r="H81" i="91"/>
  <c r="G81" i="91"/>
  <c r="F81" i="91"/>
  <c r="E81" i="91"/>
  <c r="D81" i="91"/>
  <c r="C81" i="91"/>
  <c r="H60" i="91"/>
  <c r="G60" i="91"/>
  <c r="F60" i="91"/>
  <c r="E60" i="91"/>
  <c r="D60" i="91"/>
  <c r="C60" i="91"/>
  <c r="H74" i="91"/>
  <c r="G74" i="91"/>
  <c r="F74" i="91"/>
  <c r="E74" i="91"/>
  <c r="D74" i="91"/>
  <c r="C74" i="91"/>
  <c r="H23" i="91"/>
  <c r="G23" i="91"/>
  <c r="F23" i="91"/>
  <c r="E23" i="91"/>
  <c r="D23" i="91"/>
  <c r="C23" i="91"/>
  <c r="H39" i="91"/>
  <c r="G39" i="91"/>
  <c r="F39" i="91"/>
  <c r="E39" i="91"/>
  <c r="D39" i="91"/>
  <c r="C39" i="91"/>
  <c r="H124" i="91"/>
  <c r="G124" i="91"/>
  <c r="F124" i="91"/>
  <c r="E124" i="91"/>
  <c r="D124" i="91"/>
  <c r="C124" i="91"/>
  <c r="H62" i="91"/>
  <c r="G62" i="91"/>
  <c r="F62" i="91"/>
  <c r="E62" i="91"/>
  <c r="D62" i="91"/>
  <c r="C62" i="91"/>
  <c r="H45" i="91"/>
  <c r="G45" i="91"/>
  <c r="F45" i="91"/>
  <c r="E45" i="91"/>
  <c r="D45" i="91"/>
  <c r="C45" i="91"/>
  <c r="H126" i="91"/>
  <c r="G126" i="91"/>
  <c r="F126" i="91"/>
  <c r="E126" i="91"/>
  <c r="D126" i="91"/>
  <c r="C126" i="91"/>
  <c r="H59" i="91"/>
  <c r="G59" i="91"/>
  <c r="F59" i="91"/>
  <c r="E59" i="91"/>
  <c r="D59" i="91"/>
  <c r="C59" i="91"/>
  <c r="H13" i="91"/>
  <c r="G13" i="91"/>
  <c r="F13" i="91"/>
  <c r="E13" i="91"/>
  <c r="D13" i="91"/>
  <c r="C13" i="91"/>
  <c r="H117" i="91"/>
  <c r="G117" i="91"/>
  <c r="F117" i="91"/>
  <c r="E117" i="91"/>
  <c r="D117" i="91"/>
  <c r="C117" i="91"/>
  <c r="K4" i="91"/>
  <c r="A2" i="91"/>
  <c r="A1" i="91"/>
  <c r="AD20" i="90"/>
  <c r="AD22" i="90"/>
  <c r="AD16" i="90"/>
  <c r="AD25" i="90"/>
  <c r="D29" i="90"/>
  <c r="D21" i="90"/>
  <c r="AD26" i="90"/>
  <c r="D22" i="90"/>
  <c r="AD14" i="90"/>
  <c r="AD15" i="90"/>
  <c r="AD23" i="90"/>
  <c r="D28" i="90"/>
  <c r="D24" i="90"/>
  <c r="AD21" i="90"/>
  <c r="AE21" i="90" s="1"/>
  <c r="D13" i="90"/>
  <c r="AD18" i="90"/>
  <c r="AD27" i="90"/>
  <c r="AD17" i="90"/>
  <c r="D20" i="90"/>
  <c r="D23" i="90"/>
  <c r="D27" i="90"/>
  <c r="D19" i="90"/>
  <c r="D26" i="90"/>
  <c r="D16" i="90"/>
  <c r="D18" i="90"/>
  <c r="D17" i="90"/>
  <c r="B2" i="90"/>
  <c r="B1" i="90"/>
  <c r="E61" i="89"/>
  <c r="D61" i="89"/>
  <c r="C61" i="89"/>
  <c r="E60" i="89"/>
  <c r="D60" i="89"/>
  <c r="C60" i="89"/>
  <c r="E57" i="89"/>
  <c r="D57" i="89"/>
  <c r="C57" i="89"/>
  <c r="E25" i="89"/>
  <c r="D25" i="89"/>
  <c r="C25" i="89"/>
  <c r="E24" i="89"/>
  <c r="D24" i="89"/>
  <c r="C24" i="89"/>
  <c r="E15" i="89"/>
  <c r="D15" i="89"/>
  <c r="C15" i="89"/>
  <c r="E32" i="89"/>
  <c r="D32" i="89"/>
  <c r="C32" i="89"/>
  <c r="E28" i="89"/>
  <c r="D28" i="89"/>
  <c r="C28" i="89"/>
  <c r="E21" i="89"/>
  <c r="D21" i="89"/>
  <c r="C21" i="89"/>
  <c r="E19" i="89"/>
  <c r="D19" i="89"/>
  <c r="C19" i="89"/>
  <c r="E18" i="89"/>
  <c r="D18" i="89"/>
  <c r="C18" i="89"/>
  <c r="E12" i="89"/>
  <c r="D12" i="89"/>
  <c r="C12" i="89"/>
  <c r="E13" i="89"/>
  <c r="D13" i="89"/>
  <c r="C13" i="89"/>
  <c r="E17" i="89"/>
  <c r="D17" i="89"/>
  <c r="C17" i="89"/>
  <c r="E31" i="89"/>
  <c r="D31" i="89"/>
  <c r="C31" i="89"/>
  <c r="E30" i="89"/>
  <c r="D30" i="89"/>
  <c r="C30" i="89"/>
  <c r="E14" i="89"/>
  <c r="D14" i="89"/>
  <c r="C14" i="89"/>
  <c r="E22" i="89"/>
  <c r="D22" i="89"/>
  <c r="C22" i="89"/>
  <c r="E27" i="89"/>
  <c r="D27" i="89"/>
  <c r="C27" i="89"/>
  <c r="W13" i="89"/>
  <c r="E23" i="89"/>
  <c r="D23" i="89"/>
  <c r="C23" i="89"/>
  <c r="W12" i="89"/>
  <c r="E26" i="89"/>
  <c r="D26" i="89"/>
  <c r="C26" i="89"/>
  <c r="T4" i="89"/>
  <c r="A2" i="89"/>
  <c r="A1" i="89"/>
  <c r="B6" i="25"/>
  <c r="C74" i="44"/>
  <c r="D74" i="44"/>
  <c r="E74" i="44"/>
  <c r="F74" i="44"/>
  <c r="G74" i="44"/>
  <c r="H74" i="44"/>
  <c r="C100" i="44"/>
  <c r="D100" i="44"/>
  <c r="E100" i="44"/>
  <c r="F100" i="44"/>
  <c r="G100" i="44"/>
  <c r="H100" i="44"/>
  <c r="C44" i="44"/>
  <c r="D44" i="44"/>
  <c r="E44" i="44"/>
  <c r="F44" i="44"/>
  <c r="G44" i="44"/>
  <c r="H44" i="44"/>
  <c r="C123" i="44"/>
  <c r="D123" i="44"/>
  <c r="E123" i="44"/>
  <c r="F123" i="44"/>
  <c r="G123" i="44"/>
  <c r="H123" i="44"/>
  <c r="C22" i="44"/>
  <c r="D22" i="44"/>
  <c r="E22" i="44"/>
  <c r="F22" i="44"/>
  <c r="G22" i="44"/>
  <c r="H22" i="44"/>
  <c r="C117" i="44"/>
  <c r="D117" i="44"/>
  <c r="E117" i="44"/>
  <c r="F117" i="44"/>
  <c r="G117" i="44"/>
  <c r="H117" i="44"/>
  <c r="C152" i="44"/>
  <c r="D152" i="44"/>
  <c r="E152" i="44"/>
  <c r="F152" i="44"/>
  <c r="G152" i="44"/>
  <c r="H152" i="44"/>
  <c r="C134" i="44"/>
  <c r="D134" i="44"/>
  <c r="E134" i="44"/>
  <c r="F134" i="44"/>
  <c r="G134" i="44"/>
  <c r="H134" i="44"/>
  <c r="C40" i="44"/>
  <c r="D40" i="44"/>
  <c r="E40" i="44"/>
  <c r="F40" i="44"/>
  <c r="G40" i="44"/>
  <c r="H40" i="44"/>
  <c r="C96" i="44"/>
  <c r="D96" i="44"/>
  <c r="E96" i="44"/>
  <c r="F96" i="44"/>
  <c r="G96" i="44"/>
  <c r="H96" i="44"/>
  <c r="C95" i="44"/>
  <c r="D95" i="44"/>
  <c r="E95" i="44"/>
  <c r="F95" i="44"/>
  <c r="G95" i="44"/>
  <c r="H95" i="44"/>
  <c r="C124" i="44"/>
  <c r="D124" i="44"/>
  <c r="E124" i="44"/>
  <c r="F124" i="44"/>
  <c r="G124" i="44"/>
  <c r="H124" i="44"/>
  <c r="C98" i="44"/>
  <c r="D98" i="44"/>
  <c r="E98" i="44"/>
  <c r="F98" i="44"/>
  <c r="G98" i="44"/>
  <c r="H98" i="44"/>
  <c r="C149" i="44"/>
  <c r="D149" i="44"/>
  <c r="E149" i="44"/>
  <c r="F149" i="44"/>
  <c r="G149" i="44"/>
  <c r="H149" i="44"/>
  <c r="C66" i="44"/>
  <c r="D66" i="44"/>
  <c r="E66" i="44"/>
  <c r="F66" i="44"/>
  <c r="G66" i="44"/>
  <c r="H66" i="44"/>
  <c r="C78" i="44"/>
  <c r="D78" i="44"/>
  <c r="E78" i="44"/>
  <c r="F78" i="44"/>
  <c r="G78" i="44"/>
  <c r="H78" i="44"/>
  <c r="C148" i="44"/>
  <c r="D148" i="44"/>
  <c r="E148" i="44"/>
  <c r="F148" i="44"/>
  <c r="G148" i="44"/>
  <c r="H148" i="44"/>
  <c r="C121" i="44"/>
  <c r="D121" i="44"/>
  <c r="E121" i="44"/>
  <c r="F121" i="44"/>
  <c r="G121" i="44"/>
  <c r="H121" i="44"/>
  <c r="C20" i="44"/>
  <c r="D20" i="44"/>
  <c r="E20" i="44"/>
  <c r="F20" i="44"/>
  <c r="G20" i="44"/>
  <c r="H20" i="44"/>
  <c r="C33" i="44"/>
  <c r="D33" i="44"/>
  <c r="E33" i="44"/>
  <c r="F33" i="44"/>
  <c r="G33" i="44"/>
  <c r="H33" i="44"/>
  <c r="C92" i="44"/>
  <c r="D92" i="44"/>
  <c r="E92" i="44"/>
  <c r="F92" i="44"/>
  <c r="G92" i="44"/>
  <c r="H92" i="44"/>
  <c r="C30" i="44"/>
  <c r="D30" i="44"/>
  <c r="E30" i="44"/>
  <c r="F30" i="44"/>
  <c r="G30" i="44"/>
  <c r="H30" i="44"/>
  <c r="C153" i="44"/>
  <c r="D153" i="44"/>
  <c r="E153" i="44"/>
  <c r="F153" i="44"/>
  <c r="G153" i="44"/>
  <c r="H153" i="44"/>
  <c r="C54" i="44"/>
  <c r="D54" i="44"/>
  <c r="E54" i="44"/>
  <c r="F54" i="44"/>
  <c r="G54" i="44"/>
  <c r="H54" i="44"/>
  <c r="C14" i="44"/>
  <c r="D14" i="44"/>
  <c r="E14" i="44"/>
  <c r="F14" i="44"/>
  <c r="G14" i="44"/>
  <c r="H14" i="44"/>
  <c r="C70" i="44"/>
  <c r="D70" i="44"/>
  <c r="E70" i="44"/>
  <c r="F70" i="44"/>
  <c r="G70" i="44"/>
  <c r="H70" i="44"/>
  <c r="C26" i="44"/>
  <c r="D26" i="44"/>
  <c r="E26" i="44"/>
  <c r="F26" i="44"/>
  <c r="G26" i="44"/>
  <c r="H26" i="44"/>
  <c r="C138" i="44"/>
  <c r="D138" i="44"/>
  <c r="E138" i="44"/>
  <c r="F138" i="44"/>
  <c r="G138" i="44"/>
  <c r="H138" i="44"/>
  <c r="C72" i="44"/>
  <c r="D72" i="44"/>
  <c r="E72" i="44"/>
  <c r="F72" i="44"/>
  <c r="G72" i="44"/>
  <c r="H72" i="44"/>
  <c r="C130" i="44"/>
  <c r="D130" i="44"/>
  <c r="E130" i="44"/>
  <c r="F130" i="44"/>
  <c r="G130" i="44"/>
  <c r="H130" i="44"/>
  <c r="C93" i="44"/>
  <c r="D93" i="44"/>
  <c r="E93" i="44"/>
  <c r="F93" i="44"/>
  <c r="G93" i="44"/>
  <c r="H93" i="44"/>
  <c r="C135" i="44"/>
  <c r="D135" i="44"/>
  <c r="E135" i="44"/>
  <c r="F135" i="44"/>
  <c r="G135" i="44"/>
  <c r="H135" i="44"/>
  <c r="C103" i="44"/>
  <c r="D103" i="44"/>
  <c r="E103" i="44"/>
  <c r="F103" i="44"/>
  <c r="G103" i="44"/>
  <c r="H103" i="44"/>
  <c r="C67" i="44"/>
  <c r="D67" i="44"/>
  <c r="E67" i="44"/>
  <c r="F67" i="44"/>
  <c r="G67" i="44"/>
  <c r="H67" i="44"/>
  <c r="C126" i="44"/>
  <c r="D126" i="44"/>
  <c r="E126" i="44"/>
  <c r="F126" i="44"/>
  <c r="G126" i="44"/>
  <c r="H126" i="44"/>
  <c r="C76" i="44"/>
  <c r="D76" i="44"/>
  <c r="E76" i="44"/>
  <c r="F76" i="44"/>
  <c r="G76" i="44"/>
  <c r="H76" i="44"/>
  <c r="C24" i="44"/>
  <c r="D24" i="44"/>
  <c r="E24" i="44"/>
  <c r="F24" i="44"/>
  <c r="G24" i="44"/>
  <c r="H24" i="44"/>
  <c r="C39" i="44"/>
  <c r="D39" i="44"/>
  <c r="E39" i="44"/>
  <c r="F39" i="44"/>
  <c r="G39" i="44"/>
  <c r="H39" i="44"/>
  <c r="C81" i="44"/>
  <c r="D81" i="44"/>
  <c r="E81" i="44"/>
  <c r="F81" i="44"/>
  <c r="G81" i="44"/>
  <c r="H81" i="44"/>
  <c r="C141" i="44"/>
  <c r="D141" i="44"/>
  <c r="E141" i="44"/>
  <c r="F141" i="44"/>
  <c r="G141" i="44"/>
  <c r="H141" i="44"/>
  <c r="C17" i="44"/>
  <c r="D17" i="44"/>
  <c r="E17" i="44"/>
  <c r="F17" i="44"/>
  <c r="G17" i="44"/>
  <c r="H17" i="44"/>
  <c r="C38" i="44"/>
  <c r="D38" i="44"/>
  <c r="E38" i="44"/>
  <c r="F38" i="44"/>
  <c r="G38" i="44"/>
  <c r="H38" i="44"/>
  <c r="C51" i="44"/>
  <c r="D51" i="44"/>
  <c r="E51" i="44"/>
  <c r="F51" i="44"/>
  <c r="G51" i="44"/>
  <c r="H51" i="44"/>
  <c r="C61" i="44"/>
  <c r="D61" i="44"/>
  <c r="E61" i="44"/>
  <c r="F61" i="44"/>
  <c r="G61" i="44"/>
  <c r="H61" i="44"/>
  <c r="C101" i="44"/>
  <c r="D101" i="44"/>
  <c r="E101" i="44"/>
  <c r="F101" i="44"/>
  <c r="G101" i="44"/>
  <c r="H101" i="44"/>
  <c r="C12" i="44"/>
  <c r="D12" i="44"/>
  <c r="E12" i="44"/>
  <c r="F12" i="44"/>
  <c r="G12" i="44"/>
  <c r="H12" i="44"/>
  <c r="C68" i="44"/>
  <c r="D68" i="44"/>
  <c r="E68" i="44"/>
  <c r="F68" i="44"/>
  <c r="G68" i="44"/>
  <c r="H68" i="44"/>
  <c r="C77" i="44"/>
  <c r="D77" i="44"/>
  <c r="E77" i="44"/>
  <c r="F77" i="44"/>
  <c r="G77" i="44"/>
  <c r="H77" i="44"/>
  <c r="C46" i="44"/>
  <c r="D46" i="44"/>
  <c r="E46" i="44"/>
  <c r="F46" i="44"/>
  <c r="G46" i="44"/>
  <c r="H46" i="44"/>
  <c r="C29" i="44"/>
  <c r="D29" i="44"/>
  <c r="E29" i="44"/>
  <c r="F29" i="44"/>
  <c r="G29" i="44"/>
  <c r="H29" i="44"/>
  <c r="C88" i="44"/>
  <c r="D88" i="44"/>
  <c r="E88" i="44"/>
  <c r="F88" i="44"/>
  <c r="G88" i="44"/>
  <c r="H88" i="44"/>
  <c r="C35" i="44"/>
  <c r="D35" i="44"/>
  <c r="E35" i="44"/>
  <c r="F35" i="44"/>
  <c r="G35" i="44"/>
  <c r="H35" i="44"/>
  <c r="C87" i="44"/>
  <c r="D87" i="44"/>
  <c r="E87" i="44"/>
  <c r="F87" i="44"/>
  <c r="G87" i="44"/>
  <c r="H87" i="44"/>
  <c r="C16" i="44"/>
  <c r="D16" i="44"/>
  <c r="E16" i="44"/>
  <c r="F16" i="44"/>
  <c r="G16" i="44"/>
  <c r="H16" i="44"/>
  <c r="C73" i="44"/>
  <c r="D73" i="44"/>
  <c r="E73" i="44"/>
  <c r="F73" i="44"/>
  <c r="G73" i="44"/>
  <c r="H73" i="44"/>
  <c r="C25" i="44"/>
  <c r="D25" i="44"/>
  <c r="E25" i="44"/>
  <c r="F25" i="44"/>
  <c r="G25" i="44"/>
  <c r="H25" i="44"/>
  <c r="C154" i="44"/>
  <c r="D154" i="44"/>
  <c r="E154" i="44"/>
  <c r="F154" i="44"/>
  <c r="G154" i="44"/>
  <c r="H154" i="44"/>
  <c r="C132" i="44"/>
  <c r="D132" i="44"/>
  <c r="E132" i="44"/>
  <c r="F132" i="44"/>
  <c r="G132" i="44"/>
  <c r="H132" i="44"/>
  <c r="C129" i="44"/>
  <c r="D129" i="44"/>
  <c r="E129" i="44"/>
  <c r="F129" i="44"/>
  <c r="G129" i="44"/>
  <c r="H129" i="44"/>
  <c r="C62" i="44"/>
  <c r="D62" i="44"/>
  <c r="E62" i="44"/>
  <c r="F62" i="44"/>
  <c r="G62" i="44"/>
  <c r="H62" i="44"/>
  <c r="C58" i="44"/>
  <c r="D58" i="44"/>
  <c r="E58" i="44"/>
  <c r="F58" i="44"/>
  <c r="G58" i="44"/>
  <c r="H58" i="44"/>
  <c r="C151" i="44"/>
  <c r="D151" i="44"/>
  <c r="E151" i="44"/>
  <c r="F151" i="44"/>
  <c r="G151" i="44"/>
  <c r="H151" i="44"/>
  <c r="C106" i="44"/>
  <c r="D106" i="44"/>
  <c r="E106" i="44"/>
  <c r="F106" i="44"/>
  <c r="G106" i="44"/>
  <c r="H106" i="44"/>
  <c r="C119" i="44"/>
  <c r="D119" i="44"/>
  <c r="E119" i="44"/>
  <c r="F119" i="44"/>
  <c r="G119" i="44"/>
  <c r="H119" i="44"/>
  <c r="C139" i="44"/>
  <c r="D139" i="44"/>
  <c r="E139" i="44"/>
  <c r="F139" i="44"/>
  <c r="G139" i="44"/>
  <c r="H139" i="44"/>
  <c r="C140" i="44"/>
  <c r="D140" i="44"/>
  <c r="E140" i="44"/>
  <c r="F140" i="44"/>
  <c r="G140" i="44"/>
  <c r="H140" i="44"/>
  <c r="C55" i="44"/>
  <c r="D55" i="44"/>
  <c r="E55" i="44"/>
  <c r="F55" i="44"/>
  <c r="G55" i="44"/>
  <c r="H55" i="44"/>
  <c r="C114" i="44"/>
  <c r="D114" i="44"/>
  <c r="E114" i="44"/>
  <c r="F114" i="44"/>
  <c r="G114" i="44"/>
  <c r="H114" i="44"/>
  <c r="C94" i="44"/>
  <c r="D94" i="44"/>
  <c r="E94" i="44"/>
  <c r="F94" i="44"/>
  <c r="G94" i="44"/>
  <c r="H94" i="44"/>
  <c r="C89" i="44"/>
  <c r="D89" i="44"/>
  <c r="E89" i="44"/>
  <c r="F89" i="44"/>
  <c r="G89" i="44"/>
  <c r="H89" i="44"/>
  <c r="C144" i="44"/>
  <c r="D144" i="44"/>
  <c r="E144" i="44"/>
  <c r="F144" i="44"/>
  <c r="G144" i="44"/>
  <c r="H144" i="44"/>
  <c r="C56" i="44"/>
  <c r="D56" i="44"/>
  <c r="E56" i="44"/>
  <c r="F56" i="44"/>
  <c r="G56" i="44"/>
  <c r="H56" i="44"/>
  <c r="C128" i="44"/>
  <c r="D128" i="44"/>
  <c r="E128" i="44"/>
  <c r="F128" i="44"/>
  <c r="G128" i="44"/>
  <c r="H128" i="44"/>
  <c r="C59" i="44"/>
  <c r="D59" i="44"/>
  <c r="E59" i="44"/>
  <c r="F59" i="44"/>
  <c r="G59" i="44"/>
  <c r="H59" i="44"/>
  <c r="C36" i="44"/>
  <c r="D36" i="44"/>
  <c r="E36" i="44"/>
  <c r="F36" i="44"/>
  <c r="G36" i="44"/>
  <c r="H36" i="44"/>
  <c r="C90" i="44"/>
  <c r="D90" i="44"/>
  <c r="E90" i="44"/>
  <c r="F90" i="44"/>
  <c r="G90" i="44"/>
  <c r="H90" i="44"/>
  <c r="C13" i="44"/>
  <c r="D13" i="44"/>
  <c r="E13" i="44"/>
  <c r="F13" i="44"/>
  <c r="G13" i="44"/>
  <c r="H13" i="44"/>
  <c r="C41" i="44"/>
  <c r="D41" i="44"/>
  <c r="E41" i="44"/>
  <c r="F41" i="44"/>
  <c r="G41" i="44"/>
  <c r="H41" i="44"/>
  <c r="C104" i="44"/>
  <c r="D104" i="44"/>
  <c r="E104" i="44"/>
  <c r="F104" i="44"/>
  <c r="G104" i="44"/>
  <c r="H104" i="44"/>
  <c r="C45" i="44"/>
  <c r="D45" i="44"/>
  <c r="E45" i="44"/>
  <c r="F45" i="44"/>
  <c r="G45" i="44"/>
  <c r="H45" i="44"/>
  <c r="C99" i="44"/>
  <c r="D99" i="44"/>
  <c r="E99" i="44"/>
  <c r="F99" i="44"/>
  <c r="G99" i="44"/>
  <c r="H99" i="44"/>
  <c r="C49" i="44"/>
  <c r="D49" i="44"/>
  <c r="E49" i="44"/>
  <c r="F49" i="44"/>
  <c r="G49" i="44"/>
  <c r="H49" i="44"/>
  <c r="C65" i="44"/>
  <c r="D65" i="44"/>
  <c r="E65" i="44"/>
  <c r="F65" i="44"/>
  <c r="G65" i="44"/>
  <c r="H65" i="44"/>
  <c r="C32" i="44"/>
  <c r="D32" i="44"/>
  <c r="E32" i="44"/>
  <c r="F32" i="44"/>
  <c r="G32" i="44"/>
  <c r="H32" i="44"/>
  <c r="C23" i="44"/>
  <c r="D23" i="44"/>
  <c r="E23" i="44"/>
  <c r="F23" i="44"/>
  <c r="G23" i="44"/>
  <c r="H23" i="44"/>
  <c r="C83" i="44"/>
  <c r="D83" i="44"/>
  <c r="E83" i="44"/>
  <c r="F83" i="44"/>
  <c r="G83" i="44"/>
  <c r="H83" i="44"/>
  <c r="C63" i="44"/>
  <c r="D63" i="44"/>
  <c r="E63" i="44"/>
  <c r="F63" i="44"/>
  <c r="G63" i="44"/>
  <c r="H63" i="44"/>
  <c r="C19" i="44"/>
  <c r="D19" i="44"/>
  <c r="E19" i="44"/>
  <c r="F19" i="44"/>
  <c r="G19" i="44"/>
  <c r="H19" i="44"/>
  <c r="C82" i="44"/>
  <c r="D82" i="44"/>
  <c r="E82" i="44"/>
  <c r="F82" i="44"/>
  <c r="G82" i="44"/>
  <c r="H82" i="44"/>
  <c r="C127" i="44"/>
  <c r="D127" i="44"/>
  <c r="E127" i="44"/>
  <c r="F127" i="44"/>
  <c r="G127" i="44"/>
  <c r="H127" i="44"/>
  <c r="C60" i="44"/>
  <c r="D60" i="44"/>
  <c r="E60" i="44"/>
  <c r="F60" i="44"/>
  <c r="G60" i="44"/>
  <c r="H60" i="44"/>
  <c r="C102" i="44"/>
  <c r="D102" i="44"/>
  <c r="E102" i="44"/>
  <c r="F102" i="44"/>
  <c r="G102" i="44"/>
  <c r="H102" i="44"/>
  <c r="C131" i="44"/>
  <c r="D131" i="44"/>
  <c r="E131" i="44"/>
  <c r="F131" i="44"/>
  <c r="G131" i="44"/>
  <c r="H131" i="44"/>
  <c r="C31" i="44"/>
  <c r="D31" i="44"/>
  <c r="E31" i="44"/>
  <c r="F31" i="44"/>
  <c r="G31" i="44"/>
  <c r="H31" i="44"/>
  <c r="C34" i="44"/>
  <c r="D34" i="44"/>
  <c r="E34" i="44"/>
  <c r="F34" i="44"/>
  <c r="G34" i="44"/>
  <c r="H34" i="44"/>
  <c r="C120" i="44"/>
  <c r="D120" i="44"/>
  <c r="E120" i="44"/>
  <c r="F120" i="44"/>
  <c r="G120" i="44"/>
  <c r="H120" i="44"/>
  <c r="C86" i="44"/>
  <c r="D86" i="44"/>
  <c r="E86" i="44"/>
  <c r="F86" i="44"/>
  <c r="G86" i="44"/>
  <c r="H86" i="44"/>
  <c r="C37" i="44"/>
  <c r="D37" i="44"/>
  <c r="E37" i="44"/>
  <c r="F37" i="44"/>
  <c r="G37" i="44"/>
  <c r="H37" i="44"/>
  <c r="C21" i="44"/>
  <c r="D21" i="44"/>
  <c r="E21" i="44"/>
  <c r="F21" i="44"/>
  <c r="G21" i="44"/>
  <c r="H21" i="44"/>
  <c r="C105" i="44"/>
  <c r="D105" i="44"/>
  <c r="E105" i="44"/>
  <c r="F105" i="44"/>
  <c r="G105" i="44"/>
  <c r="H105" i="44"/>
  <c r="C47" i="44"/>
  <c r="D47" i="44"/>
  <c r="E47" i="44"/>
  <c r="F47" i="44"/>
  <c r="G47" i="44"/>
  <c r="H47" i="44"/>
  <c r="C50" i="44"/>
  <c r="D50" i="44"/>
  <c r="E50" i="44"/>
  <c r="F50" i="44"/>
  <c r="G50" i="44"/>
  <c r="H50" i="44"/>
  <c r="C57" i="44"/>
  <c r="D57" i="44"/>
  <c r="E57" i="44"/>
  <c r="F57" i="44"/>
  <c r="G57" i="44"/>
  <c r="H57" i="44"/>
  <c r="C122" i="44"/>
  <c r="D122" i="44"/>
  <c r="E122" i="44"/>
  <c r="F122" i="44"/>
  <c r="G122" i="44"/>
  <c r="H122" i="44"/>
  <c r="C97" i="44"/>
  <c r="D97" i="44"/>
  <c r="E97" i="44"/>
  <c r="F97" i="44"/>
  <c r="G97" i="44"/>
  <c r="H97" i="44"/>
  <c r="C75" i="44"/>
  <c r="D75" i="44"/>
  <c r="E75" i="44"/>
  <c r="F75" i="44"/>
  <c r="G75" i="44"/>
  <c r="H75" i="44"/>
  <c r="C64" i="44"/>
  <c r="D64" i="44"/>
  <c r="E64" i="44"/>
  <c r="F64" i="44"/>
  <c r="G64" i="44"/>
  <c r="H64" i="44"/>
  <c r="C150" i="44"/>
  <c r="D150" i="44"/>
  <c r="E150" i="44"/>
  <c r="F150" i="44"/>
  <c r="G150" i="44"/>
  <c r="H150" i="44"/>
  <c r="C48" i="44"/>
  <c r="D48" i="44"/>
  <c r="E48" i="44"/>
  <c r="F48" i="44"/>
  <c r="G48" i="44"/>
  <c r="H48" i="44"/>
  <c r="C79" i="44"/>
  <c r="D79" i="44"/>
  <c r="E79" i="44"/>
  <c r="F79" i="44"/>
  <c r="G79" i="44"/>
  <c r="H79" i="44"/>
  <c r="C125" i="44"/>
  <c r="D125" i="44"/>
  <c r="E125" i="44"/>
  <c r="F125" i="44"/>
  <c r="G125" i="44"/>
  <c r="H125" i="44"/>
  <c r="C80" i="44"/>
  <c r="D80" i="44"/>
  <c r="E80" i="44"/>
  <c r="F80" i="44"/>
  <c r="G80" i="44"/>
  <c r="H80" i="44"/>
  <c r="C84" i="44"/>
  <c r="D84" i="44"/>
  <c r="E84" i="44"/>
  <c r="F84" i="44"/>
  <c r="G84" i="44"/>
  <c r="H84" i="44"/>
  <c r="H118" i="44"/>
  <c r="G118" i="44"/>
  <c r="F118" i="44"/>
  <c r="E118" i="44"/>
  <c r="D118" i="44"/>
  <c r="C118" i="44"/>
  <c r="A11" i="76"/>
  <c r="H104" i="76"/>
  <c r="G104" i="76"/>
  <c r="F104" i="76"/>
  <c r="E104" i="76"/>
  <c r="D104" i="76"/>
  <c r="C104" i="76"/>
  <c r="H103" i="76"/>
  <c r="G103" i="76"/>
  <c r="F103" i="76"/>
  <c r="E103" i="76"/>
  <c r="D103" i="76"/>
  <c r="C103" i="76"/>
  <c r="H102" i="76"/>
  <c r="G102" i="76"/>
  <c r="F102" i="76"/>
  <c r="E102" i="76"/>
  <c r="D102" i="76"/>
  <c r="C102" i="76"/>
  <c r="H101" i="76"/>
  <c r="G101" i="76"/>
  <c r="F101" i="76"/>
  <c r="E101" i="76"/>
  <c r="D101" i="76"/>
  <c r="C101" i="76"/>
  <c r="H100" i="76"/>
  <c r="G100" i="76"/>
  <c r="F100" i="76"/>
  <c r="E100" i="76"/>
  <c r="D100" i="76"/>
  <c r="C100" i="76"/>
  <c r="H99" i="76"/>
  <c r="G99" i="76"/>
  <c r="F99" i="76"/>
  <c r="E99" i="76"/>
  <c r="D99" i="76"/>
  <c r="C99" i="76"/>
  <c r="H98" i="76"/>
  <c r="G98" i="76"/>
  <c r="F98" i="76"/>
  <c r="E98" i="76"/>
  <c r="D98" i="76"/>
  <c r="C98" i="76"/>
  <c r="H97" i="76"/>
  <c r="G97" i="76"/>
  <c r="F97" i="76"/>
  <c r="E97" i="76"/>
  <c r="D97" i="76"/>
  <c r="C97" i="76"/>
  <c r="H96" i="76"/>
  <c r="G96" i="76"/>
  <c r="F96" i="76"/>
  <c r="E96" i="76"/>
  <c r="D96" i="76"/>
  <c r="C96" i="76"/>
  <c r="H95" i="76"/>
  <c r="G95" i="76"/>
  <c r="F95" i="76"/>
  <c r="E95" i="76"/>
  <c r="D95" i="76"/>
  <c r="C95" i="76"/>
  <c r="H94" i="76"/>
  <c r="G94" i="76"/>
  <c r="F94" i="76"/>
  <c r="E94" i="76"/>
  <c r="D94" i="76"/>
  <c r="C94" i="76"/>
  <c r="G92" i="76"/>
  <c r="F92" i="76"/>
  <c r="E92" i="76"/>
  <c r="D92" i="76"/>
  <c r="C92" i="76"/>
  <c r="G93" i="76"/>
  <c r="F93" i="76"/>
  <c r="E93" i="76"/>
  <c r="D93" i="76"/>
  <c r="C93" i="76"/>
  <c r="H91" i="76"/>
  <c r="G91" i="76"/>
  <c r="F91" i="76"/>
  <c r="E91" i="76"/>
  <c r="D91" i="76"/>
  <c r="C91" i="76"/>
  <c r="H90" i="76"/>
  <c r="G90" i="76"/>
  <c r="F90" i="76"/>
  <c r="E90" i="76"/>
  <c r="D90" i="76"/>
  <c r="C90" i="76"/>
  <c r="H89" i="76"/>
  <c r="G89" i="76"/>
  <c r="F89" i="76"/>
  <c r="E89" i="76"/>
  <c r="D89" i="76"/>
  <c r="C89" i="76"/>
  <c r="H88" i="76"/>
  <c r="G88" i="76"/>
  <c r="F88" i="76"/>
  <c r="E88" i="76"/>
  <c r="D88" i="76"/>
  <c r="C88" i="76"/>
  <c r="H87" i="76"/>
  <c r="G87" i="76"/>
  <c r="F87" i="76"/>
  <c r="E87" i="76"/>
  <c r="D87" i="76"/>
  <c r="C87" i="76"/>
  <c r="H86" i="76"/>
  <c r="G86" i="76"/>
  <c r="F86" i="76"/>
  <c r="E86" i="76"/>
  <c r="D86" i="76"/>
  <c r="C86" i="76"/>
  <c r="H85" i="76"/>
  <c r="G85" i="76"/>
  <c r="F85" i="76"/>
  <c r="E85" i="76"/>
  <c r="D85" i="76"/>
  <c r="C85" i="76"/>
  <c r="H84" i="76"/>
  <c r="G84" i="76"/>
  <c r="F84" i="76"/>
  <c r="E84" i="76"/>
  <c r="D84" i="76"/>
  <c r="C84" i="76"/>
  <c r="H83" i="76"/>
  <c r="G83" i="76"/>
  <c r="F83" i="76"/>
  <c r="E83" i="76"/>
  <c r="D83" i="76"/>
  <c r="C83" i="76"/>
  <c r="H82" i="76"/>
  <c r="G82" i="76"/>
  <c r="F82" i="76"/>
  <c r="E82" i="76"/>
  <c r="D82" i="76"/>
  <c r="C82" i="76"/>
  <c r="G81" i="76"/>
  <c r="F80" i="76"/>
  <c r="E80" i="76"/>
  <c r="D80" i="76"/>
  <c r="C80" i="76"/>
  <c r="G80" i="76"/>
  <c r="F81" i="76"/>
  <c r="E81" i="76"/>
  <c r="D81" i="76"/>
  <c r="C81" i="76"/>
  <c r="H79" i="76"/>
  <c r="G79" i="76"/>
  <c r="F79" i="76"/>
  <c r="E79" i="76"/>
  <c r="D79" i="76"/>
  <c r="C79" i="76"/>
  <c r="H78" i="76"/>
  <c r="G78" i="76"/>
  <c r="F78" i="76"/>
  <c r="E78" i="76"/>
  <c r="D78" i="76"/>
  <c r="C78" i="76"/>
  <c r="H77" i="76"/>
  <c r="G77" i="76"/>
  <c r="F77" i="76"/>
  <c r="E77" i="76"/>
  <c r="D77" i="76"/>
  <c r="C77" i="76"/>
  <c r="H76" i="76"/>
  <c r="G76" i="76"/>
  <c r="F76" i="76"/>
  <c r="E76" i="76"/>
  <c r="D76" i="76"/>
  <c r="C76" i="76"/>
  <c r="H75" i="76"/>
  <c r="G75" i="76"/>
  <c r="F75" i="76"/>
  <c r="E75" i="76"/>
  <c r="D75" i="76"/>
  <c r="C75" i="76"/>
  <c r="H74" i="76"/>
  <c r="G74" i="76"/>
  <c r="F74" i="76"/>
  <c r="E74" i="76"/>
  <c r="D74" i="76"/>
  <c r="C74" i="76"/>
  <c r="H73" i="76"/>
  <c r="G73" i="76"/>
  <c r="F73" i="76"/>
  <c r="E73" i="76"/>
  <c r="D73" i="76"/>
  <c r="C73" i="76"/>
  <c r="H72" i="76"/>
  <c r="G72" i="76"/>
  <c r="F72" i="76"/>
  <c r="E72" i="76"/>
  <c r="D72" i="76"/>
  <c r="C72" i="76"/>
  <c r="H71" i="76"/>
  <c r="G71" i="76"/>
  <c r="F71" i="76"/>
  <c r="E71" i="76"/>
  <c r="D71" i="76"/>
  <c r="C71" i="76"/>
  <c r="H70" i="76"/>
  <c r="G70" i="76"/>
  <c r="F70" i="76"/>
  <c r="E70" i="76"/>
  <c r="D70" i="76"/>
  <c r="C70" i="76"/>
  <c r="H69" i="76"/>
  <c r="G69" i="76"/>
  <c r="F69" i="76"/>
  <c r="E69" i="76"/>
  <c r="D69" i="76"/>
  <c r="C69" i="76"/>
  <c r="H68" i="76"/>
  <c r="G68" i="76"/>
  <c r="F68" i="76"/>
  <c r="E68" i="76"/>
  <c r="D68" i="76"/>
  <c r="C68" i="76"/>
  <c r="H67" i="76"/>
  <c r="G67" i="76"/>
  <c r="F67" i="76"/>
  <c r="E67" i="76"/>
  <c r="D67" i="76"/>
  <c r="C67" i="76"/>
  <c r="H66" i="76"/>
  <c r="G66" i="76"/>
  <c r="F66" i="76"/>
  <c r="E66" i="76"/>
  <c r="D66" i="76"/>
  <c r="C66" i="76"/>
  <c r="H65" i="76"/>
  <c r="G65" i="76"/>
  <c r="F65" i="76"/>
  <c r="E65" i="76"/>
  <c r="D65" i="76"/>
  <c r="C65" i="76"/>
  <c r="H64" i="76"/>
  <c r="G64" i="76"/>
  <c r="F64" i="76"/>
  <c r="E64" i="76"/>
  <c r="D64" i="76"/>
  <c r="C64" i="76"/>
  <c r="H63" i="76"/>
  <c r="G63" i="76"/>
  <c r="F63" i="76"/>
  <c r="E63" i="76"/>
  <c r="D63" i="76"/>
  <c r="C63" i="76"/>
  <c r="H62" i="76"/>
  <c r="G62" i="76"/>
  <c r="F62" i="76"/>
  <c r="E62" i="76"/>
  <c r="D62" i="76"/>
  <c r="C62" i="76"/>
  <c r="H61" i="76"/>
  <c r="G61" i="76"/>
  <c r="F61" i="76"/>
  <c r="E61" i="76"/>
  <c r="D61" i="76"/>
  <c r="C61" i="76"/>
  <c r="G60" i="76"/>
  <c r="F59" i="76"/>
  <c r="E59" i="76"/>
  <c r="D59" i="76"/>
  <c r="C59" i="76"/>
  <c r="G59" i="76"/>
  <c r="F60" i="76"/>
  <c r="E60" i="76"/>
  <c r="D60" i="76"/>
  <c r="C60" i="76"/>
  <c r="H58" i="76"/>
  <c r="G58" i="76"/>
  <c r="F58" i="76"/>
  <c r="E58" i="76"/>
  <c r="D58" i="76"/>
  <c r="C58" i="76"/>
  <c r="H57" i="76"/>
  <c r="G57" i="76"/>
  <c r="F57" i="76"/>
  <c r="E57" i="76"/>
  <c r="D57" i="76"/>
  <c r="C57" i="76"/>
  <c r="H56" i="76"/>
  <c r="G56" i="76"/>
  <c r="F56" i="76"/>
  <c r="E56" i="76"/>
  <c r="D56" i="76"/>
  <c r="C56" i="76"/>
  <c r="H55" i="76"/>
  <c r="G55" i="76"/>
  <c r="F55" i="76"/>
  <c r="E55" i="76"/>
  <c r="D55" i="76"/>
  <c r="C55" i="76"/>
  <c r="H54" i="76"/>
  <c r="G54" i="76"/>
  <c r="F54" i="76"/>
  <c r="E54" i="76"/>
  <c r="D54" i="76"/>
  <c r="C54" i="76"/>
  <c r="H53" i="76"/>
  <c r="G53" i="76"/>
  <c r="F53" i="76"/>
  <c r="E53" i="76"/>
  <c r="D53" i="76"/>
  <c r="C53" i="76"/>
  <c r="H52" i="76"/>
  <c r="G52" i="76"/>
  <c r="F52" i="76"/>
  <c r="E52" i="76"/>
  <c r="D52" i="76"/>
  <c r="C52" i="76"/>
  <c r="H51" i="76"/>
  <c r="G51" i="76"/>
  <c r="F51" i="76"/>
  <c r="E51" i="76"/>
  <c r="D51" i="76"/>
  <c r="C51" i="76"/>
  <c r="H50" i="76"/>
  <c r="G50" i="76"/>
  <c r="F50" i="76"/>
  <c r="E50" i="76"/>
  <c r="D50" i="76"/>
  <c r="C50" i="76"/>
  <c r="H49" i="76"/>
  <c r="G49" i="76"/>
  <c r="F49" i="76"/>
  <c r="E49" i="76"/>
  <c r="D49" i="76"/>
  <c r="C49" i="76"/>
  <c r="H48" i="76"/>
  <c r="G48" i="76"/>
  <c r="F48" i="76"/>
  <c r="E48" i="76"/>
  <c r="D48" i="76"/>
  <c r="C48" i="76"/>
  <c r="H47" i="76"/>
  <c r="G47" i="76"/>
  <c r="F47" i="76"/>
  <c r="E47" i="76"/>
  <c r="D47" i="76"/>
  <c r="C47" i="76"/>
  <c r="H46" i="76"/>
  <c r="G46" i="76"/>
  <c r="F46" i="76"/>
  <c r="E46" i="76"/>
  <c r="D46" i="76"/>
  <c r="C46" i="76"/>
  <c r="H45" i="76"/>
  <c r="G45" i="76"/>
  <c r="F45" i="76"/>
  <c r="E45" i="76"/>
  <c r="D45" i="76"/>
  <c r="C45" i="76"/>
  <c r="H44" i="76"/>
  <c r="G44" i="76"/>
  <c r="F44" i="76"/>
  <c r="E44" i="76"/>
  <c r="D44" i="76"/>
  <c r="C44" i="76"/>
  <c r="H43" i="76"/>
  <c r="G43" i="76"/>
  <c r="F43" i="76"/>
  <c r="E43" i="76"/>
  <c r="D43" i="76"/>
  <c r="C43" i="76"/>
  <c r="H42" i="76"/>
  <c r="G42" i="76"/>
  <c r="F42" i="76"/>
  <c r="E42" i="76"/>
  <c r="D42" i="76"/>
  <c r="C42" i="76"/>
  <c r="H41" i="76"/>
  <c r="G41" i="76"/>
  <c r="F41" i="76"/>
  <c r="E41" i="76"/>
  <c r="D41" i="76"/>
  <c r="C41" i="76"/>
  <c r="H40" i="76"/>
  <c r="G40" i="76"/>
  <c r="F40" i="76"/>
  <c r="E40" i="76"/>
  <c r="D40" i="76"/>
  <c r="C40" i="76"/>
  <c r="H39" i="76"/>
  <c r="G39" i="76"/>
  <c r="F39" i="76"/>
  <c r="E39" i="76"/>
  <c r="D39" i="76"/>
  <c r="C39" i="76"/>
  <c r="H38" i="76"/>
  <c r="G38" i="76"/>
  <c r="F38" i="76"/>
  <c r="E38" i="76"/>
  <c r="D38" i="76"/>
  <c r="C38" i="76"/>
  <c r="H37" i="76"/>
  <c r="G37" i="76"/>
  <c r="F37" i="76"/>
  <c r="E37" i="76"/>
  <c r="D37" i="76"/>
  <c r="C37" i="76"/>
  <c r="H36" i="76"/>
  <c r="G36" i="76"/>
  <c r="F36" i="76"/>
  <c r="E36" i="76"/>
  <c r="D36" i="76"/>
  <c r="C36" i="76"/>
  <c r="H35" i="76"/>
  <c r="G35" i="76"/>
  <c r="F34" i="76"/>
  <c r="E34" i="76"/>
  <c r="D34" i="76"/>
  <c r="C34" i="76"/>
  <c r="H34" i="76"/>
  <c r="G34" i="76"/>
  <c r="F35" i="76"/>
  <c r="E35" i="76"/>
  <c r="D35" i="76"/>
  <c r="C35" i="76"/>
  <c r="H33" i="76"/>
  <c r="G33" i="76"/>
  <c r="F33" i="76"/>
  <c r="E33" i="76"/>
  <c r="D33" i="76"/>
  <c r="C33" i="76"/>
  <c r="H32" i="76"/>
  <c r="G32" i="76"/>
  <c r="F32" i="76"/>
  <c r="E32" i="76"/>
  <c r="D32" i="76"/>
  <c r="C32" i="76"/>
  <c r="H31" i="76"/>
  <c r="G31" i="76"/>
  <c r="F31" i="76"/>
  <c r="E31" i="76"/>
  <c r="D31" i="76"/>
  <c r="C31" i="76"/>
  <c r="H30" i="76"/>
  <c r="G30" i="76"/>
  <c r="F30" i="76"/>
  <c r="E30" i="76"/>
  <c r="D30" i="76"/>
  <c r="C30" i="76"/>
  <c r="H29" i="76"/>
  <c r="G29" i="76"/>
  <c r="F29" i="76"/>
  <c r="E29" i="76"/>
  <c r="D29" i="76"/>
  <c r="C29" i="76"/>
  <c r="H28" i="76"/>
  <c r="G28" i="76"/>
  <c r="F28" i="76"/>
  <c r="E28" i="76"/>
  <c r="D28" i="76"/>
  <c r="C28" i="76"/>
  <c r="H27" i="76"/>
  <c r="G27" i="76"/>
  <c r="F27" i="76"/>
  <c r="E27" i="76"/>
  <c r="D27" i="76"/>
  <c r="C27" i="76"/>
  <c r="H26" i="76"/>
  <c r="G26" i="76"/>
  <c r="F26" i="76"/>
  <c r="E26" i="76"/>
  <c r="D26" i="76"/>
  <c r="C26" i="76"/>
  <c r="H25" i="76"/>
  <c r="G25" i="76"/>
  <c r="F25" i="76"/>
  <c r="E25" i="76"/>
  <c r="D25" i="76"/>
  <c r="C25" i="76"/>
  <c r="H24" i="76"/>
  <c r="G24" i="76"/>
  <c r="F24" i="76"/>
  <c r="E24" i="76"/>
  <c r="D24" i="76"/>
  <c r="C24" i="76"/>
  <c r="H23" i="76"/>
  <c r="G23" i="76"/>
  <c r="F23" i="76"/>
  <c r="E23" i="76"/>
  <c r="D23" i="76"/>
  <c r="C23" i="76"/>
  <c r="H22" i="76"/>
  <c r="G22" i="76"/>
  <c r="F22" i="76"/>
  <c r="E22" i="76"/>
  <c r="D22" i="76"/>
  <c r="C22" i="76"/>
  <c r="H21" i="76"/>
  <c r="G21" i="76"/>
  <c r="F21" i="76"/>
  <c r="E21" i="76"/>
  <c r="D21" i="76"/>
  <c r="C21" i="76"/>
  <c r="H20" i="76"/>
  <c r="G20" i="76"/>
  <c r="F20" i="76"/>
  <c r="E20" i="76"/>
  <c r="D20" i="76"/>
  <c r="C20" i="76"/>
  <c r="H18" i="76"/>
  <c r="G18" i="76"/>
  <c r="F18" i="76"/>
  <c r="E18" i="76"/>
  <c r="D18" i="76"/>
  <c r="C18" i="76"/>
  <c r="H19" i="76"/>
  <c r="G19" i="76"/>
  <c r="F19" i="76"/>
  <c r="E19" i="76"/>
  <c r="D19" i="76"/>
  <c r="C19" i="76"/>
  <c r="H17" i="76"/>
  <c r="G17" i="76"/>
  <c r="F17" i="76"/>
  <c r="E17" i="76"/>
  <c r="D17" i="76"/>
  <c r="C17" i="76"/>
  <c r="H16" i="76"/>
  <c r="G16" i="76"/>
  <c r="F16" i="76"/>
  <c r="E16" i="76"/>
  <c r="D16" i="76"/>
  <c r="C16" i="76"/>
  <c r="H15" i="76"/>
  <c r="G15" i="76"/>
  <c r="F15" i="76"/>
  <c r="E15" i="76"/>
  <c r="D15" i="76"/>
  <c r="C15" i="76"/>
  <c r="H14" i="76"/>
  <c r="G14" i="76"/>
  <c r="F14" i="76"/>
  <c r="E14" i="76"/>
  <c r="D14" i="76"/>
  <c r="C14" i="76"/>
  <c r="H13" i="76"/>
  <c r="G13" i="76"/>
  <c r="F13" i="76"/>
  <c r="E13" i="76"/>
  <c r="D13" i="76"/>
  <c r="C13" i="76"/>
  <c r="H12" i="76"/>
  <c r="G12" i="76"/>
  <c r="F12" i="76"/>
  <c r="E12" i="76"/>
  <c r="D12" i="76"/>
  <c r="C12" i="76"/>
  <c r="A2" i="76"/>
  <c r="A1" i="76"/>
  <c r="J21" i="44"/>
  <c r="J117" i="44"/>
  <c r="J72" i="44"/>
  <c r="J46" i="44"/>
  <c r="J99" i="44"/>
  <c r="J12" i="44"/>
  <c r="J67" i="44"/>
  <c r="J26" i="44"/>
  <c r="J51" i="44"/>
  <c r="J115" i="44"/>
  <c r="J87" i="44"/>
  <c r="J18" i="44"/>
  <c r="J44" i="44"/>
  <c r="J33" i="44"/>
  <c r="J62" i="44"/>
  <c r="J106" i="44"/>
  <c r="J107" i="44"/>
  <c r="J52" i="44"/>
  <c r="J116" i="44"/>
  <c r="J56" i="44"/>
  <c r="J63" i="44"/>
  <c r="J83" i="44"/>
  <c r="J69" i="44"/>
  <c r="J30" i="44"/>
  <c r="J84" i="44"/>
  <c r="J36" i="44"/>
  <c r="J93" i="44"/>
  <c r="J100" i="44"/>
  <c r="J85" i="44"/>
  <c r="J103" i="44"/>
  <c r="J66" i="44"/>
  <c r="J120" i="44"/>
  <c r="J32" i="44"/>
  <c r="J58" i="44"/>
  <c r="J14" i="44"/>
  <c r="J105" i="44"/>
  <c r="J91" i="44"/>
  <c r="J19" i="44"/>
  <c r="J23" i="44"/>
  <c r="J48" i="44"/>
  <c r="J76" i="44"/>
  <c r="J47" i="44"/>
  <c r="J88" i="44"/>
  <c r="J53" i="44"/>
  <c r="J119" i="44"/>
  <c r="J40" i="44"/>
  <c r="J109" i="44"/>
  <c r="J118" i="44"/>
  <c r="J140" i="44"/>
  <c r="J65" i="44"/>
  <c r="J73" i="44"/>
  <c r="J70" i="44"/>
  <c r="J139" i="44"/>
  <c r="J74" i="44"/>
  <c r="J54" i="44"/>
  <c r="J97" i="44"/>
  <c r="J71" i="44"/>
  <c r="J28" i="44"/>
  <c r="J42" i="44"/>
  <c r="J17" i="44"/>
  <c r="J24" i="44"/>
  <c r="J35" i="44"/>
  <c r="J95" i="44"/>
  <c r="J121" i="44"/>
  <c r="J92" i="44"/>
  <c r="J122" i="44"/>
  <c r="J96" i="44"/>
  <c r="J78" i="44"/>
  <c r="J38" i="44"/>
  <c r="J64" i="44"/>
  <c r="J108" i="44"/>
  <c r="J79" i="44"/>
  <c r="J16" i="44"/>
  <c r="J15" i="44"/>
  <c r="J37" i="44"/>
  <c r="J39" i="44"/>
  <c r="J13" i="44"/>
  <c r="J45" i="44"/>
  <c r="J50" i="44"/>
  <c r="J43" i="44"/>
  <c r="J41" i="44"/>
  <c r="J90" i="44"/>
  <c r="J114" i="44"/>
  <c r="J86" i="44"/>
  <c r="J20" i="44"/>
  <c r="J68" i="44"/>
  <c r="J27" i="44"/>
  <c r="J81" i="44"/>
  <c r="J25" i="44"/>
  <c r="J75" i="44"/>
  <c r="J22" i="44"/>
  <c r="J61" i="44"/>
  <c r="J57" i="44"/>
  <c r="J94" i="44"/>
  <c r="J60" i="44"/>
  <c r="J111" i="44"/>
  <c r="J31" i="44"/>
  <c r="J141" i="44"/>
  <c r="J49" i="44"/>
  <c r="J104" i="44"/>
  <c r="J59" i="44"/>
  <c r="J138" i="44"/>
  <c r="J80" i="44"/>
  <c r="J101" i="44"/>
  <c r="J29" i="44"/>
  <c r="E173" i="44"/>
  <c r="D173" i="44"/>
  <c r="C173" i="44"/>
  <c r="E172" i="44"/>
  <c r="D172" i="44"/>
  <c r="C172" i="44"/>
  <c r="E171" i="44"/>
  <c r="D171" i="44"/>
  <c r="E167" i="44"/>
  <c r="D167" i="44"/>
  <c r="C167" i="44"/>
  <c r="E166" i="44"/>
  <c r="D166" i="44"/>
  <c r="C166" i="44"/>
  <c r="E165" i="44"/>
  <c r="D165" i="44"/>
  <c r="C165" i="44"/>
  <c r="A1" i="50"/>
  <c r="S20" i="47"/>
  <c r="R20" i="47"/>
  <c r="S19" i="47"/>
  <c r="R19" i="47"/>
  <c r="S18" i="47"/>
  <c r="R18" i="47"/>
  <c r="S17" i="47"/>
  <c r="R17" i="47"/>
  <c r="S16" i="47"/>
  <c r="R16" i="47"/>
  <c r="S15" i="47"/>
  <c r="R15" i="47"/>
  <c r="S14" i="47"/>
  <c r="R14" i="47"/>
  <c r="S13" i="47"/>
  <c r="R13" i="47"/>
  <c r="S12" i="47"/>
  <c r="R12" i="47"/>
  <c r="S11" i="47"/>
  <c r="R11" i="47"/>
  <c r="S10" i="47"/>
  <c r="R10" i="47"/>
  <c r="C26" i="47"/>
  <c r="D26" i="47"/>
  <c r="C27" i="47"/>
  <c r="D27" i="47"/>
  <c r="C28" i="47"/>
  <c r="D28" i="47"/>
  <c r="C29" i="47"/>
  <c r="D29" i="47"/>
  <c r="C30" i="47"/>
  <c r="D30" i="47"/>
  <c r="C31" i="47"/>
  <c r="D31" i="47"/>
  <c r="C32" i="47"/>
  <c r="D32" i="47"/>
  <c r="C33" i="47"/>
  <c r="D33" i="47"/>
  <c r="C34" i="47"/>
  <c r="D34" i="47"/>
  <c r="C25" i="47"/>
  <c r="D25" i="47"/>
  <c r="A2" i="50"/>
  <c r="J3" i="50"/>
  <c r="C13" i="47"/>
  <c r="D13" i="47"/>
  <c r="P12" i="44"/>
  <c r="AP14" i="47"/>
  <c r="AO14" i="47"/>
  <c r="AP13" i="47"/>
  <c r="AO13" i="47"/>
  <c r="AP12" i="47"/>
  <c r="AO12" i="47"/>
  <c r="AP11" i="47"/>
  <c r="AO11" i="47"/>
  <c r="AP10" i="47"/>
  <c r="AO10" i="47"/>
  <c r="AH34" i="47"/>
  <c r="AG34" i="47"/>
  <c r="AH33" i="47"/>
  <c r="AG33" i="47"/>
  <c r="AH32" i="47"/>
  <c r="AG32" i="47"/>
  <c r="AH31" i="47"/>
  <c r="AG31" i="47"/>
  <c r="AH30" i="47"/>
  <c r="AG30" i="47"/>
  <c r="AH29" i="47"/>
  <c r="AG29" i="47"/>
  <c r="AH28" i="47"/>
  <c r="AG28" i="47"/>
  <c r="AH27" i="47"/>
  <c r="AG27" i="47"/>
  <c r="AH26" i="47"/>
  <c r="AG26" i="47"/>
  <c r="AH25" i="47"/>
  <c r="AG25" i="47"/>
  <c r="AH24" i="47"/>
  <c r="AG24" i="47"/>
  <c r="AH23" i="47"/>
  <c r="AG23" i="47"/>
  <c r="AH22" i="47"/>
  <c r="AG22" i="47"/>
  <c r="AH21" i="47"/>
  <c r="AG21" i="47"/>
  <c r="AH20" i="47"/>
  <c r="AG20" i="47"/>
  <c r="AH19" i="47"/>
  <c r="AG19" i="47"/>
  <c r="AH18" i="47"/>
  <c r="AG18" i="47"/>
  <c r="AH17" i="47"/>
  <c r="AG17" i="47"/>
  <c r="AH16" i="47"/>
  <c r="AG16" i="47"/>
  <c r="AH15" i="47"/>
  <c r="AG15" i="47"/>
  <c r="AH14" i="47"/>
  <c r="AG14" i="47"/>
  <c r="AH13" i="47"/>
  <c r="AG13" i="47"/>
  <c r="AH12" i="47"/>
  <c r="AG12" i="47"/>
  <c r="AH11" i="47"/>
  <c r="AG11" i="47"/>
  <c r="AH10" i="47"/>
  <c r="AG10" i="47"/>
  <c r="AA34" i="47"/>
  <c r="Z34" i="47"/>
  <c r="AA33" i="47"/>
  <c r="Z33" i="47"/>
  <c r="AA32" i="47"/>
  <c r="Z32" i="47"/>
  <c r="AA31" i="47"/>
  <c r="Z31" i="47"/>
  <c r="AA30" i="47"/>
  <c r="Z30" i="47"/>
  <c r="AA29" i="47"/>
  <c r="Z29" i="47"/>
  <c r="AA28" i="47"/>
  <c r="Z28" i="47"/>
  <c r="AA27" i="47"/>
  <c r="Z27" i="47"/>
  <c r="AA26" i="47"/>
  <c r="Z26" i="47"/>
  <c r="AA25" i="47"/>
  <c r="Z25" i="47"/>
  <c r="AA24" i="47"/>
  <c r="Z24" i="47"/>
  <c r="AA23" i="47"/>
  <c r="Z23" i="47"/>
  <c r="AA22" i="47"/>
  <c r="Z22" i="47"/>
  <c r="AA21" i="47"/>
  <c r="Z21" i="47"/>
  <c r="AA20" i="47"/>
  <c r="Z20" i="47"/>
  <c r="AA19" i="47"/>
  <c r="Z19" i="47"/>
  <c r="AA18" i="47"/>
  <c r="Z18" i="47"/>
  <c r="AA17" i="47"/>
  <c r="Z17" i="47"/>
  <c r="AA16" i="47"/>
  <c r="Z16" i="47"/>
  <c r="AA15" i="47"/>
  <c r="Z15" i="47"/>
  <c r="AA14" i="47"/>
  <c r="Z14" i="47"/>
  <c r="AA13" i="47"/>
  <c r="Z13" i="47"/>
  <c r="AA12" i="47"/>
  <c r="Z12" i="47"/>
  <c r="AA11" i="47"/>
  <c r="Z11" i="47"/>
  <c r="AA10" i="47"/>
  <c r="Z10" i="47"/>
  <c r="R21" i="47"/>
  <c r="S21" i="47"/>
  <c r="R22" i="47"/>
  <c r="S22" i="47"/>
  <c r="R23" i="47"/>
  <c r="S23" i="47"/>
  <c r="R24" i="47"/>
  <c r="S24" i="47"/>
  <c r="R25" i="47"/>
  <c r="S25" i="47"/>
  <c r="R26" i="47"/>
  <c r="S26" i="47"/>
  <c r="R27" i="47"/>
  <c r="S27" i="47"/>
  <c r="R28" i="47"/>
  <c r="S28" i="47"/>
  <c r="R29" i="47"/>
  <c r="S29" i="47"/>
  <c r="R30" i="47"/>
  <c r="S30" i="47"/>
  <c r="R31" i="47"/>
  <c r="S31" i="47"/>
  <c r="R32" i="47"/>
  <c r="S32" i="47"/>
  <c r="R33" i="47"/>
  <c r="S33" i="47"/>
  <c r="R34" i="47"/>
  <c r="S34" i="47"/>
  <c r="K11" i="47"/>
  <c r="L11" i="47"/>
  <c r="K12" i="47"/>
  <c r="L12" i="47"/>
  <c r="K13" i="47"/>
  <c r="L13" i="47"/>
  <c r="K14" i="47"/>
  <c r="L14" i="47"/>
  <c r="K15" i="47"/>
  <c r="L15" i="47"/>
  <c r="K16" i="47"/>
  <c r="L16" i="47"/>
  <c r="K17" i="47"/>
  <c r="L17" i="47"/>
  <c r="K18" i="47"/>
  <c r="L18" i="47"/>
  <c r="K19" i="47"/>
  <c r="L19" i="47"/>
  <c r="K20" i="47"/>
  <c r="L20" i="47"/>
  <c r="K21" i="47"/>
  <c r="L21" i="47"/>
  <c r="K22" i="47"/>
  <c r="L22" i="47"/>
  <c r="K23" i="47"/>
  <c r="L23" i="47"/>
  <c r="K24" i="47"/>
  <c r="L24" i="47"/>
  <c r="K25" i="47"/>
  <c r="L25" i="47"/>
  <c r="K26" i="47"/>
  <c r="L26" i="47"/>
  <c r="K27" i="47"/>
  <c r="L27" i="47"/>
  <c r="K28" i="47"/>
  <c r="L28" i="47"/>
  <c r="K29" i="47"/>
  <c r="L29" i="47"/>
  <c r="K30" i="47"/>
  <c r="L30" i="47"/>
  <c r="K31" i="47"/>
  <c r="L31" i="47"/>
  <c r="K32" i="47"/>
  <c r="L32" i="47"/>
  <c r="K33" i="47"/>
  <c r="L33" i="47"/>
  <c r="K34" i="47"/>
  <c r="L34" i="47"/>
  <c r="L10" i="47"/>
  <c r="K10" i="47"/>
  <c r="C11" i="47"/>
  <c r="D11" i="47"/>
  <c r="C12" i="47"/>
  <c r="D12" i="47"/>
  <c r="C14" i="47"/>
  <c r="D14" i="47"/>
  <c r="C15" i="47"/>
  <c r="D15" i="47"/>
  <c r="C16" i="47"/>
  <c r="D16" i="47"/>
  <c r="C17" i="47"/>
  <c r="D17" i="47"/>
  <c r="C18" i="47"/>
  <c r="D18" i="47"/>
  <c r="C19" i="47"/>
  <c r="D19" i="47"/>
  <c r="C20" i="47"/>
  <c r="D20" i="47"/>
  <c r="C21" i="47"/>
  <c r="D21" i="47"/>
  <c r="C22" i="47"/>
  <c r="D22" i="47"/>
  <c r="C23" i="47"/>
  <c r="D23" i="47"/>
  <c r="C24" i="47"/>
  <c r="D24" i="47"/>
  <c r="D10" i="47"/>
  <c r="C10" i="47"/>
  <c r="AE2" i="47"/>
  <c r="P2" i="47"/>
  <c r="AE1" i="47"/>
  <c r="P1" i="47"/>
  <c r="A2" i="47"/>
  <c r="A1" i="47"/>
  <c r="A2" i="44"/>
  <c r="A1" i="44"/>
  <c r="T74" i="95"/>
  <c r="J56" i="95"/>
  <c r="AI92" i="95"/>
  <c r="Y98" i="95"/>
  <c r="Z42" i="95"/>
  <c r="Z108" i="95"/>
  <c r="O62" i="95"/>
  <c r="AE108" i="95"/>
  <c r="AD110" i="95"/>
  <c r="Y104" i="95"/>
  <c r="AE78" i="95"/>
  <c r="AI14" i="95"/>
  <c r="K60" i="95"/>
  <c r="AE48" i="95"/>
  <c r="U66" i="95"/>
  <c r="Z12" i="95"/>
  <c r="AD32" i="95"/>
  <c r="AN56" i="95"/>
  <c r="U90" i="95"/>
  <c r="T80" i="95"/>
  <c r="J62" i="95"/>
  <c r="P48" i="95"/>
  <c r="AI104" i="95"/>
  <c r="AE102" i="95"/>
  <c r="Z114" i="95"/>
  <c r="AI56" i="95"/>
  <c r="U72" i="95"/>
  <c r="AT54" i="95"/>
  <c r="AS50" i="95"/>
  <c r="AD98" i="95"/>
  <c r="AJ12" i="95"/>
  <c r="AD68" i="95"/>
  <c r="AJ30" i="95"/>
  <c r="E74" i="95"/>
  <c r="U54" i="95"/>
  <c r="O56" i="95"/>
  <c r="AI50" i="95"/>
  <c r="U18" i="95"/>
  <c r="U102" i="95"/>
  <c r="U24" i="95"/>
  <c r="Y86" i="95"/>
  <c r="AI26" i="95"/>
  <c r="Z96" i="95"/>
  <c r="V67" i="89"/>
  <c r="V60" i="89"/>
  <c r="V62" i="89"/>
  <c r="V78" i="89"/>
  <c r="V65" i="89"/>
  <c r="V76" i="89"/>
  <c r="V25" i="89"/>
  <c r="V41" i="89"/>
  <c r="V32" i="89"/>
  <c r="V18" i="89"/>
  <c r="V34" i="89"/>
  <c r="V50" i="89"/>
  <c r="V19" i="89"/>
  <c r="V35" i="89"/>
  <c r="V51" i="89"/>
  <c r="V44" i="89"/>
  <c r="X66" i="89"/>
  <c r="X65" i="89"/>
  <c r="X71" i="89"/>
  <c r="X77" i="89"/>
  <c r="X72" i="89"/>
  <c r="B149" i="76"/>
  <c r="V66" i="89"/>
  <c r="V29" i="89"/>
  <c r="V40" i="89"/>
  <c r="V38" i="89"/>
  <c r="V23" i="89"/>
  <c r="V16" i="89"/>
  <c r="X62" i="89"/>
  <c r="X67" i="89"/>
  <c r="X68" i="89"/>
  <c r="E50" i="95"/>
  <c r="V79" i="89"/>
  <c r="V74" i="89"/>
  <c r="V21" i="89"/>
  <c r="V20" i="89"/>
  <c r="V46" i="89"/>
  <c r="V31" i="89"/>
  <c r="X70" i="89"/>
  <c r="X75" i="89"/>
  <c r="X60" i="89"/>
  <c r="Z72" i="95"/>
  <c r="AO48" i="95"/>
  <c r="T116" i="95"/>
  <c r="U12" i="95"/>
  <c r="AJ96" i="95"/>
  <c r="AE90" i="95"/>
  <c r="AJ54" i="95"/>
  <c r="Z90" i="95"/>
  <c r="T20" i="95"/>
  <c r="AJ24" i="95"/>
  <c r="T26" i="95"/>
  <c r="T14" i="95"/>
  <c r="F54" i="95"/>
  <c r="AD44" i="95"/>
  <c r="AD104" i="95"/>
  <c r="AE114" i="95"/>
  <c r="U36" i="95"/>
  <c r="U48" i="95"/>
  <c r="AD38" i="95"/>
  <c r="AI110" i="95"/>
  <c r="AO54" i="95"/>
  <c r="AJ84" i="95"/>
  <c r="T104" i="95"/>
  <c r="AE18" i="95"/>
  <c r="J74" i="95"/>
  <c r="AJ48" i="95"/>
  <c r="O74" i="95"/>
  <c r="AE54" i="95"/>
  <c r="AX44" i="95"/>
  <c r="Z24" i="95"/>
  <c r="T68" i="95"/>
  <c r="AI98" i="95"/>
  <c r="F3" i="95"/>
  <c r="Y62" i="95"/>
  <c r="Z54" i="95"/>
  <c r="Z48" i="95"/>
  <c r="AY42" i="95"/>
  <c r="T92" i="95"/>
  <c r="Y26" i="95"/>
  <c r="AE96" i="95"/>
  <c r="U78" i="95"/>
  <c r="Y20" i="95"/>
  <c r="U42" i="95"/>
  <c r="V71" i="89"/>
  <c r="V68" i="89"/>
  <c r="V64" i="89"/>
  <c r="V69" i="89"/>
  <c r="V13" i="89"/>
  <c r="V45" i="89"/>
  <c r="V22" i="89"/>
  <c r="V24" i="89"/>
  <c r="V39" i="89"/>
  <c r="X78" i="89"/>
  <c r="X61" i="89"/>
  <c r="X73" i="89"/>
  <c r="AE60" i="95"/>
  <c r="V58" i="89"/>
  <c r="V61" i="89"/>
  <c r="V37" i="89"/>
  <c r="V14" i="89"/>
  <c r="V15" i="89"/>
  <c r="V47" i="89"/>
  <c r="X69" i="89"/>
  <c r="X59" i="89"/>
  <c r="E62" i="95"/>
  <c r="J50" i="95"/>
  <c r="AD14" i="95"/>
  <c r="AD26" i="95"/>
  <c r="T86" i="95"/>
  <c r="B160" i="44"/>
  <c r="AN50" i="95"/>
  <c r="AD80" i="95"/>
  <c r="U96" i="95"/>
  <c r="AJ18" i="95"/>
  <c r="Y116" i="95"/>
  <c r="AE72" i="95"/>
  <c r="AS56" i="95"/>
  <c r="AJ108" i="95"/>
  <c r="AI32" i="95"/>
  <c r="AJ102" i="95"/>
  <c r="F72" i="95"/>
  <c r="K48" i="95"/>
  <c r="Y32" i="95"/>
  <c r="B4" i="95"/>
  <c r="AD56" i="95"/>
  <c r="T32" i="95"/>
  <c r="U114" i="95"/>
  <c r="Y92" i="95"/>
  <c r="T62" i="95"/>
  <c r="AI44" i="95"/>
  <c r="U60" i="95"/>
  <c r="AT48" i="95"/>
  <c r="AI20" i="95"/>
  <c r="Z18" i="95"/>
  <c r="AE12" i="95"/>
  <c r="Y68" i="95"/>
  <c r="AD74" i="95"/>
  <c r="P60" i="95"/>
  <c r="T56" i="95"/>
  <c r="T50" i="95"/>
  <c r="AI116" i="95"/>
  <c r="AE24" i="95"/>
  <c r="AD20" i="95"/>
  <c r="AE36" i="95"/>
  <c r="AE30" i="95"/>
  <c r="AD92" i="95"/>
  <c r="U84" i="95"/>
  <c r="V59" i="89"/>
  <c r="V75" i="89"/>
  <c r="V80" i="89"/>
  <c r="V70" i="89"/>
  <c r="V72" i="89"/>
  <c r="V73" i="89"/>
  <c r="V17" i="89"/>
  <c r="V33" i="89"/>
  <c r="V49" i="89"/>
  <c r="V48" i="89"/>
  <c r="V26" i="89"/>
  <c r="V42" i="89"/>
  <c r="V52" i="89"/>
  <c r="V27" i="89"/>
  <c r="V43" i="89"/>
  <c r="V28" i="89"/>
  <c r="P54" i="95"/>
  <c r="Y50" i="95"/>
  <c r="Y80" i="95"/>
  <c r="Y38" i="95"/>
  <c r="Z66" i="95"/>
  <c r="K72" i="95"/>
  <c r="O50" i="95"/>
  <c r="AJ114" i="95"/>
  <c r="T98" i="95"/>
  <c r="T110" i="95"/>
  <c r="Z30" i="95"/>
  <c r="AD62" i="95"/>
  <c r="F48" i="95"/>
  <c r="AE84" i="95"/>
  <c r="AD86" i="95"/>
  <c r="AD116" i="95"/>
  <c r="Z60" i="95"/>
  <c r="AE42" i="95"/>
  <c r="AJ42" i="95"/>
  <c r="P72" i="95"/>
  <c r="Y56" i="95"/>
  <c r="AI86" i="95"/>
  <c r="Z102" i="95"/>
  <c r="Y110" i="95"/>
  <c r="E56" i="95"/>
  <c r="Z84" i="95"/>
  <c r="F60" i="95"/>
  <c r="AD50" i="95"/>
  <c r="U30" i="95"/>
  <c r="T38" i="95"/>
  <c r="AJ90" i="95"/>
  <c r="AE66" i="95"/>
  <c r="Y74" i="95"/>
  <c r="K54" i="95"/>
  <c r="AJ78" i="95"/>
  <c r="U108" i="95"/>
  <c r="AI80" i="95"/>
  <c r="Z78" i="95"/>
  <c r="T44" i="95"/>
  <c r="Y44" i="95"/>
  <c r="Y14" i="95"/>
  <c r="V63" i="89"/>
  <c r="V77" i="89"/>
  <c r="V30" i="89"/>
  <c r="V36" i="89"/>
  <c r="X76" i="89"/>
  <c r="X74" i="89"/>
  <c r="AE20" i="90" l="1"/>
  <c r="J124" i="91"/>
  <c r="J134" i="91"/>
  <c r="J129" i="91"/>
  <c r="J104" i="91"/>
  <c r="J67" i="91"/>
  <c r="J93" i="91"/>
  <c r="J16" i="91"/>
  <c r="J84" i="91"/>
  <c r="J49" i="91"/>
  <c r="J46" i="91"/>
  <c r="J37" i="91"/>
  <c r="J79" i="91"/>
  <c r="J77" i="91"/>
  <c r="J43" i="91"/>
  <c r="J113" i="91"/>
  <c r="J69" i="91"/>
  <c r="J142" i="91"/>
  <c r="J132" i="91"/>
  <c r="J121" i="91"/>
  <c r="J34" i="91"/>
  <c r="J14" i="91"/>
  <c r="J135" i="91"/>
  <c r="J110" i="91"/>
  <c r="J128" i="91"/>
  <c r="J58" i="91"/>
  <c r="J103" i="91"/>
  <c r="J12" i="91"/>
  <c r="J141" i="91"/>
  <c r="J33" i="91"/>
  <c r="J89" i="91"/>
  <c r="J44" i="91"/>
  <c r="J57" i="91"/>
  <c r="J51" i="91"/>
  <c r="J87" i="91"/>
  <c r="J122" i="91"/>
  <c r="J144" i="91"/>
  <c r="J20" i="91"/>
  <c r="J133" i="91"/>
  <c r="J111" i="91"/>
  <c r="J146" i="91"/>
  <c r="J98" i="91"/>
  <c r="J83" i="91"/>
  <c r="J139" i="91"/>
  <c r="J25" i="91"/>
  <c r="J80" i="91"/>
  <c r="J18" i="91"/>
  <c r="J126" i="91"/>
  <c r="J60" i="91"/>
  <c r="J54" i="91"/>
  <c r="J94" i="91"/>
  <c r="J123" i="91"/>
  <c r="J73" i="91"/>
  <c r="J66" i="91"/>
  <c r="J35" i="91"/>
  <c r="J114" i="91"/>
  <c r="J32" i="91"/>
  <c r="J31" i="91"/>
  <c r="J22" i="91"/>
  <c r="J78" i="91"/>
  <c r="J65" i="91"/>
  <c r="J140" i="91"/>
  <c r="J53" i="91"/>
  <c r="J15" i="91"/>
  <c r="J85" i="91"/>
  <c r="J23" i="91"/>
  <c r="J70" i="91"/>
  <c r="J17" i="91"/>
  <c r="J105" i="91"/>
  <c r="J145" i="91"/>
  <c r="J107" i="91"/>
  <c r="J92" i="91"/>
  <c r="J52" i="91"/>
  <c r="J68" i="91"/>
  <c r="J19" i="91"/>
  <c r="J21" i="91"/>
  <c r="J62" i="91"/>
  <c r="J27" i="91"/>
  <c r="J115" i="91"/>
  <c r="J130" i="91"/>
  <c r="J127" i="91"/>
  <c r="J45" i="91"/>
  <c r="J137" i="91"/>
  <c r="J71" i="91"/>
  <c r="J97" i="91"/>
  <c r="J72" i="91"/>
  <c r="J61" i="91"/>
  <c r="J74" i="91"/>
  <c r="J28" i="91"/>
  <c r="J26" i="91"/>
  <c r="J118" i="91"/>
  <c r="J96" i="91"/>
  <c r="J38" i="91"/>
  <c r="J116" i="91"/>
  <c r="J48" i="91"/>
  <c r="J88" i="91"/>
  <c r="J99" i="91"/>
  <c r="J112" i="91"/>
  <c r="J81" i="91"/>
  <c r="J42" i="91"/>
  <c r="J55" i="91"/>
  <c r="J136" i="91"/>
  <c r="J90" i="91"/>
  <c r="J91" i="91"/>
  <c r="J76" i="91"/>
  <c r="J75" i="91"/>
  <c r="J41" i="91"/>
  <c r="J13" i="91"/>
  <c r="J30" i="91"/>
  <c r="J50" i="91"/>
  <c r="J86" i="91"/>
  <c r="J108" i="91"/>
  <c r="J106" i="91"/>
  <c r="J29" i="91"/>
  <c r="J109" i="91"/>
  <c r="J143" i="91"/>
  <c r="J101" i="91"/>
  <c r="J24" i="91"/>
  <c r="J47" i="91"/>
  <c r="J63" i="91"/>
  <c r="J148" i="91"/>
  <c r="J59" i="91"/>
  <c r="J64" i="91"/>
  <c r="J36" i="91"/>
  <c r="J95" i="91"/>
  <c r="J100" i="91"/>
  <c r="J125" i="91"/>
  <c r="J131" i="91"/>
  <c r="J82" i="91"/>
  <c r="J56" i="91"/>
  <c r="J120" i="91"/>
  <c r="J40" i="91"/>
  <c r="J39" i="91"/>
  <c r="J138" i="91"/>
  <c r="J147" i="91"/>
  <c r="J119" i="91"/>
  <c r="J102" i="91"/>
  <c r="J117" i="91"/>
  <c r="W13" i="44"/>
  <c r="W17" i="44"/>
  <c r="W21" i="44"/>
  <c r="W25" i="44"/>
  <c r="W29" i="44"/>
  <c r="W33" i="44"/>
  <c r="W37" i="44"/>
  <c r="W41" i="44"/>
  <c r="W45" i="44"/>
  <c r="W49" i="44"/>
  <c r="W53" i="44"/>
  <c r="W57" i="44"/>
  <c r="W61" i="44"/>
  <c r="W65" i="44"/>
  <c r="W69" i="44"/>
  <c r="W73" i="44"/>
  <c r="W77" i="44"/>
  <c r="W81" i="44"/>
  <c r="W85" i="44"/>
  <c r="W89" i="44"/>
  <c r="W93" i="44"/>
  <c r="W97" i="44"/>
  <c r="W101" i="44"/>
  <c r="W105" i="44"/>
  <c r="W109" i="44"/>
  <c r="W113" i="44"/>
  <c r="W117" i="44"/>
  <c r="W121" i="44"/>
  <c r="W125" i="44"/>
  <c r="W129" i="44"/>
  <c r="W133" i="44"/>
  <c r="W137" i="44"/>
  <c r="W141" i="44"/>
  <c r="W145" i="44"/>
  <c r="W149" i="44"/>
  <c r="W153" i="44"/>
  <c r="W157" i="44"/>
  <c r="W118" i="44"/>
  <c r="W138" i="44"/>
  <c r="W146" i="44"/>
  <c r="W154" i="44"/>
  <c r="W123" i="44"/>
  <c r="W139" i="44"/>
  <c r="W147" i="44"/>
  <c r="W155" i="44"/>
  <c r="W159" i="44"/>
  <c r="W16" i="44"/>
  <c r="W24" i="44"/>
  <c r="W32" i="44"/>
  <c r="W40" i="44"/>
  <c r="W48" i="44"/>
  <c r="W56" i="44"/>
  <c r="W64" i="44"/>
  <c r="W72" i="44"/>
  <c r="W80" i="44"/>
  <c r="W88" i="44"/>
  <c r="W96" i="44"/>
  <c r="W104" i="44"/>
  <c r="W112" i="44"/>
  <c r="W116" i="44"/>
  <c r="W124" i="44"/>
  <c r="W132" i="44"/>
  <c r="W140" i="44"/>
  <c r="W148" i="44"/>
  <c r="W14" i="44"/>
  <c r="W18" i="44"/>
  <c r="W22" i="44"/>
  <c r="W26" i="44"/>
  <c r="W30" i="44"/>
  <c r="W34" i="44"/>
  <c r="W38" i="44"/>
  <c r="W42" i="44"/>
  <c r="W46" i="44"/>
  <c r="W50" i="44"/>
  <c r="W54" i="44"/>
  <c r="W58" i="44"/>
  <c r="W62" i="44"/>
  <c r="W66" i="44"/>
  <c r="W70" i="44"/>
  <c r="W74" i="44"/>
  <c r="W78" i="44"/>
  <c r="W82" i="44"/>
  <c r="W86" i="44"/>
  <c r="W90" i="44"/>
  <c r="W94" i="44"/>
  <c r="W98" i="44"/>
  <c r="W102" i="44"/>
  <c r="W106" i="44"/>
  <c r="W110" i="44"/>
  <c r="W114" i="44"/>
  <c r="W122" i="44"/>
  <c r="W126" i="44"/>
  <c r="W130" i="44"/>
  <c r="W134" i="44"/>
  <c r="W142" i="44"/>
  <c r="W150" i="44"/>
  <c r="W158" i="44"/>
  <c r="W15" i="44"/>
  <c r="W19" i="44"/>
  <c r="W23" i="44"/>
  <c r="W27" i="44"/>
  <c r="W31" i="44"/>
  <c r="W35" i="44"/>
  <c r="W39" i="44"/>
  <c r="W43" i="44"/>
  <c r="W47" i="44"/>
  <c r="W51" i="44"/>
  <c r="W55" i="44"/>
  <c r="W59" i="44"/>
  <c r="W63" i="44"/>
  <c r="W67" i="44"/>
  <c r="W71" i="44"/>
  <c r="W75" i="44"/>
  <c r="W79" i="44"/>
  <c r="W83" i="44"/>
  <c r="W87" i="44"/>
  <c r="W91" i="44"/>
  <c r="W95" i="44"/>
  <c r="W99" i="44"/>
  <c r="W103" i="44"/>
  <c r="W107" i="44"/>
  <c r="W111" i="44"/>
  <c r="W115" i="44"/>
  <c r="W119" i="44"/>
  <c r="W127" i="44"/>
  <c r="W131" i="44"/>
  <c r="W135" i="44"/>
  <c r="W143" i="44"/>
  <c r="W151" i="44"/>
  <c r="W20" i="44"/>
  <c r="W28" i="44"/>
  <c r="W36" i="44"/>
  <c r="W44" i="44"/>
  <c r="W52" i="44"/>
  <c r="W60" i="44"/>
  <c r="W68" i="44"/>
  <c r="W76" i="44"/>
  <c r="W84" i="44"/>
  <c r="W92" i="44"/>
  <c r="W100" i="44"/>
  <c r="W108" i="44"/>
  <c r="W120" i="44"/>
  <c r="W128" i="44"/>
  <c r="W136" i="44"/>
  <c r="W144" i="44"/>
  <c r="W152" i="44"/>
  <c r="W156" i="44"/>
  <c r="AE23" i="90"/>
  <c r="W12" i="44"/>
  <c r="AE28" i="90"/>
  <c r="AE17" i="90"/>
  <c r="AE24" i="90"/>
  <c r="AE19" i="90"/>
  <c r="AE16" i="90"/>
  <c r="AE15" i="90"/>
  <c r="AE22" i="90"/>
  <c r="AE18" i="90"/>
  <c r="AE12" i="90"/>
  <c r="AE13" i="90"/>
  <c r="AE29" i="90"/>
  <c r="AE25" i="90"/>
  <c r="AE14" i="90"/>
  <c r="AE27" i="90"/>
  <c r="AE26" i="90"/>
  <c r="X64" i="89"/>
  <c r="X58" i="89"/>
  <c r="U38" i="95"/>
  <c r="AT56" i="95"/>
  <c r="AJ26" i="95"/>
  <c r="Z32" i="95"/>
  <c r="AE116" i="95"/>
  <c r="U110" i="95"/>
  <c r="P74" i="95"/>
  <c r="AE44" i="95"/>
  <c r="U44" i="95"/>
  <c r="AE110" i="95"/>
  <c r="Z62" i="95"/>
  <c r="AJ104" i="95"/>
  <c r="Z38" i="95"/>
  <c r="Z26" i="95"/>
  <c r="K50" i="95"/>
  <c r="K74" i="95"/>
  <c r="AJ80" i="95"/>
  <c r="Z74" i="95"/>
  <c r="P56" i="95"/>
  <c r="AE50" i="95"/>
  <c r="AE56" i="95"/>
  <c r="AB22" i="89"/>
  <c r="AO42" i="95"/>
  <c r="K4" i="44"/>
  <c r="O86" i="95"/>
  <c r="P110" i="95"/>
  <c r="P102" i="95"/>
  <c r="AT18" i="95"/>
  <c r="AT102" i="95"/>
  <c r="X17" i="89"/>
  <c r="AY96" i="95"/>
  <c r="K36" i="95"/>
  <c r="X27" i="89"/>
  <c r="K38" i="95"/>
  <c r="AT20" i="95"/>
  <c r="E14" i="95"/>
  <c r="J80" i="95"/>
  <c r="F78" i="95"/>
  <c r="X23" i="89"/>
  <c r="P86" i="95"/>
  <c r="X49" i="89"/>
  <c r="AB17" i="89"/>
  <c r="X15" i="89"/>
  <c r="E32" i="95"/>
  <c r="K86" i="95"/>
  <c r="AS80" i="95"/>
  <c r="AX92" i="95"/>
  <c r="F90" i="95"/>
  <c r="AY102" i="95"/>
  <c r="AO96" i="95"/>
  <c r="AT98" i="95"/>
  <c r="K68" i="95"/>
  <c r="AN20" i="95"/>
  <c r="J38" i="95"/>
  <c r="J116" i="95"/>
  <c r="K98" i="95"/>
  <c r="AO114" i="95"/>
  <c r="AT104" i="95"/>
  <c r="X18" i="89"/>
  <c r="X20" i="89"/>
  <c r="D3" i="76"/>
  <c r="F86" i="95"/>
  <c r="K102" i="95"/>
  <c r="AO78" i="95"/>
  <c r="E104" i="95"/>
  <c r="E44" i="95"/>
  <c r="AO14" i="95"/>
  <c r="P26" i="95"/>
  <c r="O104" i="95"/>
  <c r="K32" i="95"/>
  <c r="AX98" i="95"/>
  <c r="P104" i="95"/>
  <c r="O26" i="95"/>
  <c r="P30" i="95"/>
  <c r="P68" i="95"/>
  <c r="AO12" i="95"/>
  <c r="X24" i="89"/>
  <c r="E80" i="95"/>
  <c r="F110" i="95"/>
  <c r="A11" i="44"/>
  <c r="AN92" i="95"/>
  <c r="K90" i="95"/>
  <c r="K108" i="95"/>
  <c r="AJ14" i="95"/>
  <c r="AJ32" i="95"/>
  <c r="AJ20" i="95"/>
  <c r="U92" i="95"/>
  <c r="Z44" i="95"/>
  <c r="AT50" i="95"/>
  <c r="AE32" i="95"/>
  <c r="Z80" i="95"/>
  <c r="J14" i="95"/>
  <c r="AO116" i="95"/>
  <c r="F36" i="95"/>
  <c r="J98" i="95"/>
  <c r="AO104" i="95"/>
  <c r="F44" i="95"/>
  <c r="K80" i="95"/>
  <c r="X28" i="89"/>
  <c r="P114" i="95"/>
  <c r="F104" i="95"/>
  <c r="P14" i="95"/>
  <c r="F102" i="95"/>
  <c r="X25" i="89"/>
  <c r="AX20" i="95"/>
  <c r="F114" i="95"/>
  <c r="A4" i="44"/>
  <c r="F84" i="95"/>
  <c r="K24" i="95"/>
  <c r="O68" i="95"/>
  <c r="P44" i="95"/>
  <c r="O92" i="95"/>
  <c r="F92" i="95"/>
  <c r="F26" i="95"/>
  <c r="D3" i="90"/>
  <c r="F42" i="95"/>
  <c r="X80" i="89"/>
  <c r="K62" i="95"/>
  <c r="Z86" i="95"/>
  <c r="Z116" i="95"/>
  <c r="U26" i="95"/>
  <c r="F56" i="95"/>
  <c r="U56" i="95"/>
  <c r="AJ92" i="95"/>
  <c r="U68" i="95"/>
  <c r="AE92" i="95"/>
  <c r="Z56" i="95"/>
  <c r="F74" i="95"/>
  <c r="Z98" i="95"/>
  <c r="AE38" i="95"/>
  <c r="U50" i="95"/>
  <c r="U74" i="95"/>
  <c r="AJ116" i="95"/>
  <c r="U20" i="95"/>
  <c r="U116" i="95"/>
  <c r="U104" i="95"/>
  <c r="U80" i="95"/>
  <c r="P50" i="95"/>
  <c r="E38" i="95"/>
  <c r="F108" i="95"/>
  <c r="X14" i="89"/>
  <c r="K78" i="95"/>
  <c r="AO98" i="95"/>
  <c r="AT78" i="95"/>
  <c r="AY104" i="95"/>
  <c r="P20" i="95"/>
  <c r="AN104" i="95"/>
  <c r="O38" i="95"/>
  <c r="AS44" i="95"/>
  <c r="O80" i="95"/>
  <c r="P66" i="95"/>
  <c r="Q35" i="47"/>
  <c r="F14" i="95"/>
  <c r="P96" i="95"/>
  <c r="P42" i="95"/>
  <c r="AT96" i="95"/>
  <c r="O110" i="95"/>
  <c r="P78" i="95"/>
  <c r="X51" i="89"/>
  <c r="K104" i="95"/>
  <c r="X13" i="89"/>
  <c r="X21" i="89"/>
  <c r="X57" i="89"/>
  <c r="AY98" i="95"/>
  <c r="O44" i="95"/>
  <c r="O14" i="95"/>
  <c r="AB13" i="89"/>
  <c r="K96" i="95"/>
  <c r="E92" i="95"/>
  <c r="P18" i="95"/>
  <c r="P80" i="95"/>
  <c r="AT80" i="95"/>
  <c r="AY90" i="95"/>
  <c r="J32" i="95"/>
  <c r="AB25" i="89"/>
  <c r="AO90" i="95"/>
  <c r="X22" i="89"/>
  <c r="AY20" i="95"/>
  <c r="E68" i="95"/>
  <c r="F80" i="95"/>
  <c r="J92" i="95"/>
  <c r="E98" i="95"/>
  <c r="AB20" i="89"/>
  <c r="B4" i="90"/>
  <c r="K66" i="95"/>
  <c r="F68" i="95"/>
  <c r="K26" i="95"/>
  <c r="E110" i="95"/>
  <c r="X29" i="89"/>
  <c r="F18" i="95"/>
  <c r="K20" i="95"/>
  <c r="D3" i="91"/>
  <c r="AO20" i="95"/>
  <c r="AO80" i="95"/>
  <c r="AB14" i="89"/>
  <c r="AX104" i="95"/>
  <c r="P24" i="95"/>
  <c r="X31" i="89"/>
  <c r="AT90" i="95"/>
  <c r="O20" i="95"/>
  <c r="AJ56" i="95"/>
  <c r="U14" i="95"/>
  <c r="AJ98" i="95"/>
  <c r="Z104" i="95"/>
  <c r="U86" i="95"/>
  <c r="AY44" i="95"/>
  <c r="AE80" i="95"/>
  <c r="D3" i="89"/>
  <c r="AY30" i="95"/>
  <c r="J68" i="95"/>
  <c r="K84" i="95"/>
  <c r="X32" i="89"/>
  <c r="F24" i="95"/>
  <c r="X52" i="89"/>
  <c r="K116" i="95"/>
  <c r="AN44" i="95"/>
  <c r="AO30" i="95"/>
  <c r="F66" i="95"/>
  <c r="AN98" i="95"/>
  <c r="X16" i="89"/>
  <c r="AT92" i="95"/>
  <c r="AT44" i="95"/>
  <c r="J110" i="95"/>
  <c r="F20" i="95"/>
  <c r="B35" i="47"/>
  <c r="E20" i="95"/>
  <c r="AB16" i="89"/>
  <c r="AS20" i="95"/>
  <c r="P98" i="95"/>
  <c r="AB19" i="89"/>
  <c r="X63" i="89"/>
  <c r="AJ86" i="95"/>
  <c r="AE68" i="95"/>
  <c r="AE86" i="95"/>
  <c r="Z68" i="95"/>
  <c r="AE104" i="95"/>
  <c r="Z92" i="95"/>
  <c r="AO56" i="95"/>
  <c r="U62" i="95"/>
  <c r="AE62" i="95"/>
  <c r="F62" i="95"/>
  <c r="AJ110" i="95"/>
  <c r="AJ44" i="95"/>
  <c r="AE14" i="95"/>
  <c r="AE74" i="95"/>
  <c r="U98" i="95"/>
  <c r="F50" i="95"/>
  <c r="AE26" i="95"/>
  <c r="AE20" i="95"/>
  <c r="U32" i="95"/>
  <c r="Z110" i="95"/>
  <c r="AJ50" i="95"/>
  <c r="AN14" i="95"/>
  <c r="K42" i="95"/>
  <c r="AT42" i="95"/>
  <c r="P36" i="95"/>
  <c r="F98" i="95"/>
  <c r="J20" i="95"/>
  <c r="D3" i="44"/>
  <c r="O98" i="95"/>
  <c r="F32" i="95"/>
  <c r="P12" i="95"/>
  <c r="K12" i="95"/>
  <c r="AY18" i="95"/>
  <c r="AB26" i="89"/>
  <c r="O116" i="95"/>
  <c r="AO102" i="95"/>
  <c r="X26" i="89"/>
  <c r="AO92" i="95"/>
  <c r="AO44" i="95"/>
  <c r="E26" i="95"/>
  <c r="AS32" i="95"/>
  <c r="AY92" i="95"/>
  <c r="P116" i="95"/>
  <c r="K18" i="95"/>
  <c r="F30" i="95"/>
  <c r="AO18" i="95"/>
  <c r="AB23" i="89"/>
  <c r="A4" i="89"/>
  <c r="AN116" i="95"/>
  <c r="S3" i="47"/>
  <c r="K110" i="95"/>
  <c r="AX32" i="95"/>
  <c r="K14" i="95"/>
  <c r="J86" i="95"/>
  <c r="AY32" i="95"/>
  <c r="V12" i="89"/>
  <c r="K30" i="95"/>
  <c r="X19" i="89"/>
  <c r="AB21" i="89"/>
  <c r="P108" i="95"/>
  <c r="A11" i="91"/>
  <c r="P84" i="95"/>
  <c r="O32" i="95"/>
  <c r="AF35" i="47"/>
  <c r="J104" i="95"/>
  <c r="AS104" i="95"/>
  <c r="F116" i="95"/>
  <c r="E86" i="95"/>
  <c r="AS92" i="95"/>
  <c r="J26" i="95"/>
  <c r="AB24" i="89"/>
  <c r="X30" i="89"/>
  <c r="AN80" i="95"/>
  <c r="V57" i="89"/>
  <c r="AS98" i="95"/>
  <c r="AO32" i="95"/>
  <c r="K44" i="95"/>
  <c r="P32" i="95"/>
  <c r="P38" i="95"/>
  <c r="P90" i="95"/>
  <c r="F96" i="95"/>
  <c r="F38" i="95"/>
  <c r="E116" i="95"/>
  <c r="X79" i="89"/>
  <c r="Z14" i="95"/>
  <c r="AO50" i="95"/>
  <c r="Z20" i="95"/>
  <c r="Z50" i="95"/>
  <c r="AE98" i="95"/>
  <c r="P62" i="95"/>
  <c r="K56" i="95"/>
  <c r="X12" i="89"/>
  <c r="P92" i="95"/>
  <c r="K92" i="95"/>
  <c r="AT32" i="95"/>
  <c r="D3" i="47"/>
  <c r="K114" i="95"/>
  <c r="AT30" i="95"/>
  <c r="J44" i="95"/>
  <c r="F12" i="95"/>
  <c r="AB18" i="89"/>
  <c r="K11" i="91"/>
  <c r="X50" i="89"/>
  <c r="AB15" i="89"/>
  <c r="AN32" i="95"/>
  <c r="V1" i="44" l="1"/>
</calcChain>
</file>

<file path=xl/sharedStrings.xml><?xml version="1.0" encoding="utf-8"?>
<sst xmlns="http://schemas.openxmlformats.org/spreadsheetml/2006/main" count="1520" uniqueCount="689">
  <si>
    <t>POŘ.</t>
  </si>
  <si>
    <t>ST.Č.</t>
  </si>
  <si>
    <t>KÓD UCI</t>
  </si>
  <si>
    <t>PŘÍJMENÍ A JMÉNO</t>
  </si>
  <si>
    <t>KLUB</t>
  </si>
  <si>
    <t>LICENCE</t>
  </si>
  <si>
    <t>Rank</t>
  </si>
  <si>
    <t>Race no.</t>
  </si>
  <si>
    <t>UCI code</t>
  </si>
  <si>
    <t>Surname and name</t>
  </si>
  <si>
    <t>Licence</t>
  </si>
  <si>
    <t>Group</t>
  </si>
  <si>
    <t>DRUŽSTVO</t>
  </si>
  <si>
    <t>Startovní listina / Start list</t>
  </si>
  <si>
    <t>Team</t>
  </si>
  <si>
    <t>penalizace</t>
  </si>
  <si>
    <t>4 etapa</t>
  </si>
  <si>
    <t>3.etapa</t>
  </si>
  <si>
    <t>2. etapa</t>
  </si>
  <si>
    <t>1.etapa</t>
  </si>
  <si>
    <t>CELKEM</t>
  </si>
  <si>
    <t>Total</t>
  </si>
  <si>
    <t>1.ET .</t>
  </si>
  <si>
    <t>2. ET.</t>
  </si>
  <si>
    <t>3. ET.</t>
  </si>
  <si>
    <t>4. ET.</t>
  </si>
  <si>
    <t>CELKOVĚ</t>
  </si>
  <si>
    <t>ZTRÁTA</t>
  </si>
  <si>
    <t>Overall</t>
  </si>
  <si>
    <t>Gap</t>
  </si>
  <si>
    <t>Signature</t>
  </si>
  <si>
    <t>2. / 2nd</t>
  </si>
  <si>
    <t>1. / 1st</t>
  </si>
  <si>
    <t>1. etapa / 1st stage</t>
  </si>
  <si>
    <t>NAZEV</t>
  </si>
  <si>
    <t>Parametr</t>
  </si>
  <si>
    <t>Hodnota</t>
  </si>
  <si>
    <t>ROK</t>
  </si>
  <si>
    <t>FAV</t>
  </si>
  <si>
    <t>SVK</t>
  </si>
  <si>
    <t>Legend: / DNF Did Not Finish - nedokončil / DNS Did Not Start - nestartoval / DSQ Disqualified - diskvalifikován / REL Relegated - odvolán / OTL Over Time Limit - po limitu</t>
  </si>
  <si>
    <t>GAP</t>
  </si>
  <si>
    <t>ČAS</t>
  </si>
  <si>
    <t>Time</t>
  </si>
  <si>
    <r>
      <rPr>
        <b/>
        <sz val="10"/>
        <rFont val="Calibri"/>
        <family val="2"/>
      </rPr>
      <t>žlutý</t>
    </r>
    <r>
      <rPr>
        <sz val="10"/>
        <rFont val="Calibri"/>
        <family val="2"/>
      </rPr>
      <t xml:space="preserve"> / </t>
    </r>
    <r>
      <rPr>
        <b/>
        <sz val="10"/>
        <rFont val="Calibri"/>
        <family val="2"/>
      </rPr>
      <t>yellow</t>
    </r>
    <r>
      <rPr>
        <sz val="10"/>
        <rFont val="Calibri"/>
        <family val="2"/>
      </rPr>
      <t xml:space="preserve"> </t>
    </r>
    <r>
      <rPr>
        <sz val="9"/>
        <rFont val="Calibri"/>
        <family val="2"/>
      </rPr>
      <t>(leader of general classification)</t>
    </r>
    <r>
      <rPr>
        <sz val="10"/>
        <rFont val="Calibri"/>
        <family val="2"/>
      </rPr>
      <t xml:space="preserve">    </t>
    </r>
  </si>
  <si>
    <r>
      <rPr>
        <b/>
        <sz val="10"/>
        <rFont val="Calibri"/>
        <family val="2"/>
      </rPr>
      <t>červené puntíky / red polka-dots</t>
    </r>
    <r>
      <rPr>
        <sz val="10"/>
        <rFont val="Calibri"/>
        <family val="2"/>
      </rPr>
      <t xml:space="preserve"> </t>
    </r>
    <r>
      <rPr>
        <sz val="9"/>
        <rFont val="Calibri"/>
        <family val="2"/>
      </rPr>
      <t>(best climber)</t>
    </r>
    <r>
      <rPr>
        <sz val="10"/>
        <rFont val="Calibri"/>
        <family val="2"/>
      </rPr>
      <t xml:space="preserve">    </t>
    </r>
  </si>
  <si>
    <t>Pořadí mechanických vozů pro druhou etapu / Order of the mechanical cars for the second stage</t>
  </si>
  <si>
    <t>Vrchařské prémie / Stage Mountain Points (K.O.M.)</t>
  </si>
  <si>
    <t>KATEG.</t>
  </si>
  <si>
    <t>Categ.</t>
  </si>
  <si>
    <t>po etapě</t>
  </si>
  <si>
    <t>Podpisový arch / Signature list</t>
  </si>
  <si>
    <t>PODPIS</t>
  </si>
  <si>
    <t>BODOVACÍ SOUTĚŽ JEDNOTLIVCŮ  /  INDIVIDUAL POINT CLASSIFICATION</t>
  </si>
  <si>
    <t>1. etapa</t>
  </si>
  <si>
    <t>1st Stage</t>
  </si>
  <si>
    <t>3. etapa</t>
  </si>
  <si>
    <t>4. etapa</t>
  </si>
  <si>
    <t>2nd Stage</t>
  </si>
  <si>
    <t>3rd Stage</t>
  </si>
  <si>
    <t>4th Stage</t>
  </si>
  <si>
    <t>bon.rychlost</t>
  </si>
  <si>
    <t>body.etapa</t>
  </si>
  <si>
    <t>body.rp</t>
  </si>
  <si>
    <t>body.vp</t>
  </si>
  <si>
    <t>Žlutý dres</t>
  </si>
  <si>
    <t>nižší součet umístění v jednotlivých etapách</t>
  </si>
  <si>
    <t>lepší umístění v poslední etapě</t>
  </si>
  <si>
    <t>Zelený dres (bodovací)</t>
  </si>
  <si>
    <t>vyšší počet vítězství v jednotlivých etapách</t>
  </si>
  <si>
    <t>vyšší počet vítězství v rychlostních prémiích</t>
  </si>
  <si>
    <t>lepší umístění v celkové kvalifikaci jednotlivců</t>
  </si>
  <si>
    <t>Puntíkatý dres (vrchařská)</t>
  </si>
  <si>
    <t>vyšší počet vítězství ve vrchařských prémiích</t>
  </si>
  <si>
    <t>Soutěž družstev</t>
  </si>
  <si>
    <t>lepší součet umístění prvních tří závodníků v dané etapě</t>
  </si>
  <si>
    <t>umístění nejlepšího závodníka družstva v cíli etapy</t>
  </si>
  <si>
    <t>BONIFIKACE</t>
  </si>
  <si>
    <t>Bonification</t>
  </si>
  <si>
    <t>2. etapa / 2nd stage</t>
  </si>
  <si>
    <t>3. etapa / 3rd stage</t>
  </si>
  <si>
    <t>4. etapa / 4th stage</t>
  </si>
  <si>
    <t>Místo konání / Place: Jindřichův Hradec (CZE)</t>
  </si>
  <si>
    <t>st.č</t>
  </si>
  <si>
    <t>čas</t>
  </si>
  <si>
    <t>poř.</t>
  </si>
  <si>
    <t>bonifikace</t>
  </si>
  <si>
    <t>Prémie</t>
  </si>
  <si>
    <t>Etapa</t>
  </si>
  <si>
    <t>PREDCHOZI</t>
  </si>
  <si>
    <t>PRUBEZNE</t>
  </si>
  <si>
    <t>active</t>
  </si>
  <si>
    <t>points</t>
  </si>
  <si>
    <t>rider no</t>
  </si>
  <si>
    <t>control</t>
  </si>
  <si>
    <t>rnk</t>
  </si>
  <si>
    <t>sum p</t>
  </si>
  <si>
    <t>CISLO</t>
  </si>
  <si>
    <t>PORADI</t>
  </si>
  <si>
    <t>KONTR</t>
  </si>
  <si>
    <t>JEDNA</t>
  </si>
  <si>
    <t>KONTROLA</t>
  </si>
  <si>
    <t>SOUTĚŽ DRUŽSTEV  /  TEAM COMPETITION</t>
  </si>
  <si>
    <t>Výsledková listina / Result</t>
  </si>
  <si>
    <t>Pořadí mechanických vozů pro třetí etapu / Order of the mechanical cars for the third stage</t>
  </si>
  <si>
    <t>1. ET .</t>
  </si>
  <si>
    <t>Stg Rank</t>
  </si>
  <si>
    <t>Members</t>
  </si>
  <si>
    <t>Rnk Sum</t>
  </si>
  <si>
    <t>VRCHAŘSKÁ SOUTĚŽ / CLIMBING COMPETITION</t>
  </si>
  <si>
    <t>Před novou etapu</t>
  </si>
  <si>
    <t>Po spočtení celkových výsledků závodunezapomenout změnit odkaz na průběžné výsledky (ACTIVERIDERS/AFTER)</t>
  </si>
  <si>
    <t>Nositelé trikotů pro druhou etapu / Jersey holders for the second stage</t>
  </si>
  <si>
    <t>po 2. etapě / after 2nd Stage</t>
  </si>
  <si>
    <t>po 3. etapě / after 3rd Stage</t>
  </si>
  <si>
    <r>
      <rPr>
        <b/>
        <sz val="9"/>
        <rFont val="Calibri"/>
        <family val="2"/>
      </rPr>
      <t>po 4. etapě - celkově / after 4th Stage - overall</t>
    </r>
    <r>
      <rPr>
        <sz val="9"/>
        <rFont val="Calibri"/>
        <family val="2"/>
      </rPr>
      <t xml:space="preserve"> </t>
    </r>
  </si>
  <si>
    <t>nižší zlomky sekundy při časovce jednotlivců</t>
  </si>
  <si>
    <t>Červený puntík (vrchařská)</t>
  </si>
  <si>
    <t>ČAS STARTU</t>
  </si>
  <si>
    <t>Start Time</t>
  </si>
  <si>
    <t>Stg Sum</t>
  </si>
  <si>
    <t>Nositelé trikotů pro třetí etapu / Jersey holders for the third stage</t>
  </si>
  <si>
    <t>Nositelé trikotů pro čtvrtou etapu / Jersey holders for the fourth stage</t>
  </si>
  <si>
    <t>Pořadí mechanických vozů pro čtvrtou etapu / Order of the mechanical cars for the fourth stage</t>
  </si>
  <si>
    <t>Držitelé trikotů celkově / Jersey holders overall</t>
  </si>
  <si>
    <t>Pořadí mechanických vozů pro první etapu / Order of the mechanical cars for the first stage</t>
  </si>
  <si>
    <r>
      <rPr>
        <b/>
        <sz val="9"/>
        <rFont val="Calibri"/>
        <family val="2"/>
      </rPr>
      <t>po 1. etapě</t>
    </r>
    <r>
      <rPr>
        <sz val="9"/>
        <rFont val="Calibri"/>
        <family val="2"/>
      </rPr>
      <t xml:space="preserve"> </t>
    </r>
    <r>
      <rPr>
        <b/>
        <sz val="9"/>
        <rFont val="Calibri"/>
        <family val="2"/>
      </rPr>
      <t>/ after 1st Stage</t>
    </r>
  </si>
  <si>
    <t>SLIST</t>
  </si>
  <si>
    <t>zač.st.č.</t>
  </si>
  <si>
    <t>team</t>
  </si>
  <si>
    <t>zkr.nar.</t>
  </si>
  <si>
    <t>zkr.team</t>
  </si>
  <si>
    <t>CZE</t>
  </si>
  <si>
    <t>GER</t>
  </si>
  <si>
    <t>GERMAN NATIONAL TEAM</t>
  </si>
  <si>
    <t xml:space="preserve"> </t>
  </si>
  <si>
    <t>VLIST</t>
  </si>
  <si>
    <t xml:space="preserve">  </t>
  </si>
  <si>
    <t>celkové pořadí</t>
  </si>
  <si>
    <r>
      <rPr>
        <b/>
        <sz val="10"/>
        <rFont val="Calibri"/>
        <family val="2"/>
      </rPr>
      <t>bílý / white</t>
    </r>
    <r>
      <rPr>
        <sz val="10"/>
        <rFont val="Calibri"/>
        <family val="2"/>
      </rPr>
      <t xml:space="preserve"> </t>
    </r>
    <r>
      <rPr>
        <sz val="9"/>
        <rFont val="Calibri"/>
        <family val="2"/>
      </rPr>
      <t>(best U23 rider)</t>
    </r>
    <r>
      <rPr>
        <sz val="10"/>
        <rFont val="Calibri"/>
        <family val="2"/>
      </rPr>
      <t xml:space="preserve">    </t>
    </r>
  </si>
  <si>
    <t>mech1</t>
  </si>
  <si>
    <t>mech2</t>
  </si>
  <si>
    <t>mech3</t>
  </si>
  <si>
    <t>mech4</t>
  </si>
  <si>
    <t>nosi2</t>
  </si>
  <si>
    <t>nosi3</t>
  </si>
  <si>
    <t>nosi4</t>
  </si>
  <si>
    <t>nosiC</t>
  </si>
  <si>
    <t>DNF</t>
  </si>
  <si>
    <t>ST.Č. / Race no.</t>
  </si>
  <si>
    <t>POŘ. / Rank</t>
  </si>
  <si>
    <t>PŘÍJMENÍ / Surname</t>
  </si>
  <si>
    <t>ČAS / Time</t>
  </si>
  <si>
    <t>ZTRÁTA / Gap</t>
  </si>
  <si>
    <r>
      <rPr>
        <b/>
        <sz val="10"/>
        <rFont val="Calibri"/>
        <family val="2"/>
      </rPr>
      <t xml:space="preserve">zelený / green </t>
    </r>
    <r>
      <rPr>
        <sz val="9"/>
        <rFont val="Calibri"/>
        <family val="2"/>
      </rPr>
      <t>(individual point classification)</t>
    </r>
    <r>
      <rPr>
        <sz val="10"/>
        <rFont val="Calibri"/>
        <family val="2"/>
      </rPr>
      <t xml:space="preserve">    </t>
    </r>
  </si>
  <si>
    <t>NAZE1/MISTO1</t>
  </si>
  <si>
    <t>NAZE2/MISTO2</t>
  </si>
  <si>
    <t>NAZE3/MISTO3</t>
  </si>
  <si>
    <t>NAZE4/MISTO4</t>
  </si>
  <si>
    <t>MÍSTO</t>
  </si>
  <si>
    <t>DATUM1</t>
  </si>
  <si>
    <t>DATUM2</t>
  </si>
  <si>
    <t>DATUM3</t>
  </si>
  <si>
    <t>DATUM4</t>
  </si>
  <si>
    <t>DATUMVSE</t>
  </si>
  <si>
    <t>PODTITUL</t>
  </si>
  <si>
    <t>ETAPCELK</t>
  </si>
  <si>
    <t>ETAP1/POETAP1</t>
  </si>
  <si>
    <t>ETAP2/POETAP2</t>
  </si>
  <si>
    <t>ETAP3/POETAP3</t>
  </si>
  <si>
    <t>ETAP4/POETAP4</t>
  </si>
  <si>
    <t>PO1ET</t>
  </si>
  <si>
    <t>PO2ET</t>
  </si>
  <si>
    <t>PO3ET</t>
  </si>
  <si>
    <t>PO4ET</t>
  </si>
  <si>
    <t>NOOFLISTS</t>
  </si>
  <si>
    <t>NRIDERS1</t>
  </si>
  <si>
    <t>NRIDERS2</t>
  </si>
  <si>
    <t>NRIDERS3</t>
  </si>
  <si>
    <t>NRIDERS4</t>
  </si>
  <si>
    <t>ZLUTY</t>
  </si>
  <si>
    <t>SPRINT</t>
  </si>
  <si>
    <t>VRCHAR</t>
  </si>
  <si>
    <t>MLADY</t>
  </si>
  <si>
    <r>
      <t>žlutý / yellow</t>
    </r>
    <r>
      <rPr>
        <sz val="10"/>
        <rFont val="Calibri"/>
        <family val="2"/>
        <charset val="238"/>
      </rPr>
      <t xml:space="preserve"> (leader of general classification)    </t>
    </r>
  </si>
  <si>
    <t>Žamberk náměstí 41 km</t>
  </si>
  <si>
    <t>Řetová 71 km</t>
  </si>
  <si>
    <t>Česká Třebová 80 km</t>
  </si>
  <si>
    <t>Lískový kopec 23km</t>
  </si>
  <si>
    <t>Lískový kopec 41km</t>
  </si>
  <si>
    <t>Lískový kopec 63km</t>
  </si>
  <si>
    <t>Červenovodské sedlo 9,7 km</t>
  </si>
  <si>
    <t>Zborov 38,5 km</t>
  </si>
  <si>
    <t>Crhov 48,4 km</t>
  </si>
  <si>
    <t>Cotkytle 52,1 km</t>
  </si>
  <si>
    <t>Šedivec 34 km</t>
  </si>
  <si>
    <t>Rozsocha 56 km</t>
  </si>
  <si>
    <t>Adrlův Chlum 67 km</t>
  </si>
  <si>
    <t>Skuhrov 86,2 km</t>
  </si>
  <si>
    <t>R E G I O N E M   O R L I C K A   L A N Š K R O U N   2 0 1 5</t>
  </si>
  <si>
    <t>29. ročník mezinárodního cyklistického závodu juniorů / 29th edition of international cycling race of juniors</t>
  </si>
  <si>
    <t>7.8. - 9.8. 2015</t>
  </si>
  <si>
    <t>Bílý dres (nejlepší junior 1998)</t>
  </si>
  <si>
    <t>I., IV.</t>
  </si>
  <si>
    <t>III.</t>
  </si>
  <si>
    <t>body časovka</t>
  </si>
  <si>
    <t>*GER19981124</t>
  </si>
  <si>
    <t>AMBROSIUS Carlos</t>
  </si>
  <si>
    <t>RSC COTTBUS</t>
  </si>
  <si>
    <t>JUNIOR *</t>
  </si>
  <si>
    <t>COT</t>
  </si>
  <si>
    <t>CZE20001026*</t>
  </si>
  <si>
    <t>ANDRLE David</t>
  </si>
  <si>
    <t>CADET</t>
  </si>
  <si>
    <t>SDL</t>
  </si>
  <si>
    <t>AUT19971210</t>
  </si>
  <si>
    <t>APPELTAUER Samuel</t>
  </si>
  <si>
    <t xml:space="preserve">JUNIOR </t>
  </si>
  <si>
    <t>RLM</t>
  </si>
  <si>
    <t>CZE19991022*</t>
  </si>
  <si>
    <t xml:space="preserve">BABOR Daniel </t>
  </si>
  <si>
    <t xml:space="preserve">SKC TUFO PROSTĚJOV </t>
  </si>
  <si>
    <t>STP</t>
  </si>
  <si>
    <t>*CZE19981028</t>
  </si>
  <si>
    <t xml:space="preserve">BAKUS Tomáš </t>
  </si>
  <si>
    <t>*CZE19980106</t>
  </si>
  <si>
    <t xml:space="preserve">BÁRTEK David </t>
  </si>
  <si>
    <t>GER19970122</t>
  </si>
  <si>
    <t>BERAN Andy</t>
  </si>
  <si>
    <t>GER19970806</t>
  </si>
  <si>
    <t>BINAY Noah</t>
  </si>
  <si>
    <t>JUNIOREN SCHWALBE TEAM SACHSEN</t>
  </si>
  <si>
    <t>SAC</t>
  </si>
  <si>
    <t>POL19970608</t>
  </si>
  <si>
    <t>BISKUP Bartosz</t>
  </si>
  <si>
    <t>*SVK19980115</t>
  </si>
  <si>
    <t>BLAŠKOVIČ Richard</t>
  </si>
  <si>
    <t>S 7280</t>
  </si>
  <si>
    <t>*GER19980114</t>
  </si>
  <si>
    <t>BONNES Julius</t>
  </si>
  <si>
    <t>*GER19981104</t>
  </si>
  <si>
    <t>BRANDT Nicolas</t>
  </si>
  <si>
    <t>RG BERLIN</t>
  </si>
  <si>
    <t>RGB</t>
  </si>
  <si>
    <t xml:space="preserve">MAPEI MERIDA KAŇKOVSKÝ </t>
  </si>
  <si>
    <t>MAP</t>
  </si>
  <si>
    <t>SVK20000502*</t>
  </si>
  <si>
    <t>BUČKO Adam</t>
  </si>
  <si>
    <t>S 7046</t>
  </si>
  <si>
    <t>*GER19980825</t>
  </si>
  <si>
    <t>CARMESIN Johannes</t>
  </si>
  <si>
    <t>*CZE19980313</t>
  </si>
  <si>
    <t xml:space="preserve">CIHLÁŘ Adam </t>
  </si>
  <si>
    <t>*GER19980912</t>
  </si>
  <si>
    <t>CLAUSS Marc</t>
  </si>
  <si>
    <t>*BEL19980425</t>
  </si>
  <si>
    <t>COMMISSARIS Lucas</t>
  </si>
  <si>
    <t>WAC TEAM HOBOKEN</t>
  </si>
  <si>
    <t>WAC</t>
  </si>
  <si>
    <t>CZE20001207*</t>
  </si>
  <si>
    <t>BEL19970621</t>
  </si>
  <si>
    <t>DEKKERS Robin</t>
  </si>
  <si>
    <t>*CZE19980616</t>
  </si>
  <si>
    <t xml:space="preserve">DRDEK Dominik </t>
  </si>
  <si>
    <t>GER20000619*</t>
  </si>
  <si>
    <t>DREIER Fabian</t>
  </si>
  <si>
    <t>CZE19991006*</t>
  </si>
  <si>
    <t>DUS Albert</t>
  </si>
  <si>
    <t>CZE19970414</t>
  </si>
  <si>
    <t xml:space="preserve">DVOŘÁK Jakub </t>
  </si>
  <si>
    <t>*AUT19980711</t>
  </si>
  <si>
    <t>EDELBAUER Tobias</t>
  </si>
  <si>
    <t>POL19970322</t>
  </si>
  <si>
    <t>FOLTYN Maciej</t>
  </si>
  <si>
    <t>SLZ</t>
  </si>
  <si>
    <t>GER19970125</t>
  </si>
  <si>
    <t>FRANZ Toni</t>
  </si>
  <si>
    <t>*AUT19980216</t>
  </si>
  <si>
    <t>FRIEDRICH Marco</t>
  </si>
  <si>
    <t>LRV STEIERMARK</t>
  </si>
  <si>
    <t>LRS</t>
  </si>
  <si>
    <t>*SVK19980719</t>
  </si>
  <si>
    <t>GAJDOŠÍK Ján</t>
  </si>
  <si>
    <t>S 5766</t>
  </si>
  <si>
    <t>GER19990721*</t>
  </si>
  <si>
    <t>GRABOWSKY Joe</t>
  </si>
  <si>
    <t>AUT19971224</t>
  </si>
  <si>
    <t>AUT19971004</t>
  </si>
  <si>
    <t>GRUBER Julian</t>
  </si>
  <si>
    <t>POL19970825</t>
  </si>
  <si>
    <t xml:space="preserve">GRZEGORZYCA Dominik </t>
  </si>
  <si>
    <t>AUT19970327</t>
  </si>
  <si>
    <t>GURSCH Georg</t>
  </si>
  <si>
    <t>CZE19990916*</t>
  </si>
  <si>
    <t xml:space="preserve">HAUF Jan </t>
  </si>
  <si>
    <t>*GER19980505</t>
  </si>
  <si>
    <t>HAUPT Tarik</t>
  </si>
  <si>
    <t>CZE19830420</t>
  </si>
  <si>
    <t xml:space="preserve">HAVLÍKOVÁ Pavla </t>
  </si>
  <si>
    <t xml:space="preserve">F*ELITE </t>
  </si>
  <si>
    <t>KOO</t>
  </si>
  <si>
    <t>CZE19991009*</t>
  </si>
  <si>
    <t xml:space="preserve">HOLFEUER Dan </t>
  </si>
  <si>
    <t>GER19971001</t>
  </si>
  <si>
    <t>HOLTZ Christopher</t>
  </si>
  <si>
    <t>CZE19990209*</t>
  </si>
  <si>
    <t xml:space="preserve">HONZÁK David </t>
  </si>
  <si>
    <t>*CZE19980914</t>
  </si>
  <si>
    <t xml:space="preserve">HRUBÝ Jakub </t>
  </si>
  <si>
    <t>*BEL19980926</t>
  </si>
  <si>
    <t>HUYGEN Wout</t>
  </si>
  <si>
    <t>*CZE19980802</t>
  </si>
  <si>
    <t xml:space="preserve">CHARALAMBIDIS Denis </t>
  </si>
  <si>
    <t>CZE19971201</t>
  </si>
  <si>
    <t xml:space="preserve">CHYTIL Daniel </t>
  </si>
  <si>
    <t>*AUT19980813</t>
  </si>
  <si>
    <t>IRENDORFER Moritz</t>
  </si>
  <si>
    <t>SVK19990903*</t>
  </si>
  <si>
    <t>JANUŠ Pavol</t>
  </si>
  <si>
    <t>S 7460</t>
  </si>
  <si>
    <t>CZE19990122*</t>
  </si>
  <si>
    <t xml:space="preserve">KABRHEL Milan </t>
  </si>
  <si>
    <t>GER19990531*</t>
  </si>
  <si>
    <t>KAMLOT Tom</t>
  </si>
  <si>
    <t>CZE19990814*</t>
  </si>
  <si>
    <t xml:space="preserve">KLABOUCH Petr </t>
  </si>
  <si>
    <t>*SVK19980617</t>
  </si>
  <si>
    <t>KLÁTIK David</t>
  </si>
  <si>
    <t>SLOVAK CYCLING FEDERATION</t>
  </si>
  <si>
    <t>S 6351</t>
  </si>
  <si>
    <t>CZE19971022</t>
  </si>
  <si>
    <t xml:space="preserve">KLEVETA Jakub </t>
  </si>
  <si>
    <t>GER19990128*</t>
  </si>
  <si>
    <t>KLUGE Felix</t>
  </si>
  <si>
    <t>*CZE19981115</t>
  </si>
  <si>
    <t xml:space="preserve">KOČAŘÍK Václav </t>
  </si>
  <si>
    <t>*BEL19980519</t>
  </si>
  <si>
    <t>KONINGS Frits</t>
  </si>
  <si>
    <t>CZE19970127</t>
  </si>
  <si>
    <t xml:space="preserve">KOTOUČEK Matěj </t>
  </si>
  <si>
    <t>*CZE19980303</t>
  </si>
  <si>
    <t xml:space="preserve">KOUDELA Dominik </t>
  </si>
  <si>
    <t>SVK19971212</t>
  </si>
  <si>
    <t>KOVÁČIK Vladimír</t>
  </si>
  <si>
    <t>S 5733</t>
  </si>
  <si>
    <t>*CZE19980529</t>
  </si>
  <si>
    <t>KREJČÍ Marian</t>
  </si>
  <si>
    <t>CZE19971221</t>
  </si>
  <si>
    <t xml:space="preserve">KRUMPHANZL Matyáš </t>
  </si>
  <si>
    <t>CZE19970110</t>
  </si>
  <si>
    <t xml:space="preserve">KŘIKAVA Jakub </t>
  </si>
  <si>
    <t>CZE19990602*</t>
  </si>
  <si>
    <t xml:space="preserve">KUBA Karel </t>
  </si>
  <si>
    <t>CZE19970417</t>
  </si>
  <si>
    <t xml:space="preserve">KUBEŠ Martin </t>
  </si>
  <si>
    <t>*CZE19980923</t>
  </si>
  <si>
    <t xml:space="preserve">KUČERA Michal </t>
  </si>
  <si>
    <t>POL19971016</t>
  </si>
  <si>
    <t>KUKLEWICZ Karol</t>
  </si>
  <si>
    <t>LOD009</t>
  </si>
  <si>
    <t>*GER19981026</t>
  </si>
  <si>
    <t>KUNERT Pepe</t>
  </si>
  <si>
    <t>CZE19970916</t>
  </si>
  <si>
    <t xml:space="preserve">KUNT Lukáš </t>
  </si>
  <si>
    <t>POL19990202*</t>
  </si>
  <si>
    <t>KUŚ Adam</t>
  </si>
  <si>
    <t>LOD006</t>
  </si>
  <si>
    <t>SVK19970522</t>
  </si>
  <si>
    <t>KVIETOK Pavol</t>
  </si>
  <si>
    <t>S 4591</t>
  </si>
  <si>
    <t>CZE19970821</t>
  </si>
  <si>
    <t xml:space="preserve">LAŠTŮVKA David </t>
  </si>
  <si>
    <t>*CZE19980414</t>
  </si>
  <si>
    <t xml:space="preserve">MACEK Michal </t>
  </si>
  <si>
    <t>POL19990406*</t>
  </si>
  <si>
    <t>MANOWSKI Mateusz</t>
  </si>
  <si>
    <t>BEL19991005*</t>
  </si>
  <si>
    <t>MARIS Elias</t>
  </si>
  <si>
    <t>*GER19980319</t>
  </si>
  <si>
    <t>MEILER Martin</t>
  </si>
  <si>
    <t>SVK19970730</t>
  </si>
  <si>
    <t>MEŇUŠ Tomáš</t>
  </si>
  <si>
    <t>S 6668</t>
  </si>
  <si>
    <t>POL19990111*</t>
  </si>
  <si>
    <t xml:space="preserve">MIGAS Dawid </t>
  </si>
  <si>
    <t>CZE20000704*</t>
  </si>
  <si>
    <t xml:space="preserve">MICHAL Daniel </t>
  </si>
  <si>
    <t>CZE20001009*</t>
  </si>
  <si>
    <t>MIKŠANÍK Vladimír</t>
  </si>
  <si>
    <t>*GER19980312</t>
  </si>
  <si>
    <t>MÖBIS Maximilian</t>
  </si>
  <si>
    <t>AUT19971207</t>
  </si>
  <si>
    <t>MOSER Max</t>
  </si>
  <si>
    <t>*GER19981204</t>
  </si>
  <si>
    <t>MÜLLER Tom</t>
  </si>
  <si>
    <t>*GER19981209</t>
  </si>
  <si>
    <t>NOLDE Tobias</t>
  </si>
  <si>
    <t>*CZE19980120</t>
  </si>
  <si>
    <t xml:space="preserve">NOVÁK Jan </t>
  </si>
  <si>
    <t>*POL19980719</t>
  </si>
  <si>
    <t>NOWAK Michał</t>
  </si>
  <si>
    <t>*CZE19980830</t>
  </si>
  <si>
    <t xml:space="preserve">PARMA Dominik </t>
  </si>
  <si>
    <t>BEL19970116</t>
  </si>
  <si>
    <t>PENNINCK Jens</t>
  </si>
  <si>
    <t>*SVK19981014</t>
  </si>
  <si>
    <t>PERSON Tomáš</t>
  </si>
  <si>
    <t>S 4322</t>
  </si>
  <si>
    <t>*GER19980223</t>
  </si>
  <si>
    <t>PLAMBECK Philipp</t>
  </si>
  <si>
    <t>*CZE19980726</t>
  </si>
  <si>
    <t>POKORNÝ Petr</t>
  </si>
  <si>
    <t>CZE19970409</t>
  </si>
  <si>
    <t xml:space="preserve">POTŮČEK Šimon </t>
  </si>
  <si>
    <t>*CZE19980624</t>
  </si>
  <si>
    <t>AUT19970502</t>
  </si>
  <si>
    <t>RECKENDORFER Lukas</t>
  </si>
  <si>
    <t>CZE20000328*</t>
  </si>
  <si>
    <t xml:space="preserve">ROTTER Michal </t>
  </si>
  <si>
    <t>*GER19981211</t>
  </si>
  <si>
    <t>RUDOLPH Poul</t>
  </si>
  <si>
    <t>*GER19980601</t>
  </si>
  <si>
    <t>RUDYS Paul</t>
  </si>
  <si>
    <t>*GER19980430</t>
  </si>
  <si>
    <t>SCHNEIDER Jonas</t>
  </si>
  <si>
    <t>*GER19980317</t>
  </si>
  <si>
    <t>SCHNEIDER William</t>
  </si>
  <si>
    <t>POL19970228</t>
  </si>
  <si>
    <t>SKIBIŃSKI Krzysztof</t>
  </si>
  <si>
    <t>CZE19970804</t>
  </si>
  <si>
    <t xml:space="preserve">SPUDIL Martin </t>
  </si>
  <si>
    <t>*AUT19981224</t>
  </si>
  <si>
    <t>STIDL Timo</t>
  </si>
  <si>
    <t>CZE19971015</t>
  </si>
  <si>
    <t xml:space="preserve">STRUPEK Matyáš </t>
  </si>
  <si>
    <t>CZE19970109</t>
  </si>
  <si>
    <t xml:space="preserve">SVATEK Miroslav </t>
  </si>
  <si>
    <t>CZE19991205*</t>
  </si>
  <si>
    <t xml:space="preserve">SYROVÁTKA Matěj </t>
  </si>
  <si>
    <t>*CZE19980217</t>
  </si>
  <si>
    <t xml:space="preserve">ŠIMŮNEK Adam </t>
  </si>
  <si>
    <t>*CZE19980604</t>
  </si>
  <si>
    <t xml:space="preserve">ŠMÍDA Martin </t>
  </si>
  <si>
    <t>CZE19970516</t>
  </si>
  <si>
    <t xml:space="preserve">ŠORM Jiří </t>
  </si>
  <si>
    <t xml:space="preserve">ŠTIBINGR Matěj </t>
  </si>
  <si>
    <t>TRACHTULEC Petr</t>
  </si>
  <si>
    <t>SVK19970514</t>
  </si>
  <si>
    <t>TRUBAN Matej</t>
  </si>
  <si>
    <t>S 4238</t>
  </si>
  <si>
    <t>CZE19990706*</t>
  </si>
  <si>
    <t xml:space="preserve">TUHÝ Jan </t>
  </si>
  <si>
    <t>GER19970211</t>
  </si>
  <si>
    <t>URNAUER Lauritz</t>
  </si>
  <si>
    <t>BEL19991125*</t>
  </si>
  <si>
    <t>VAN GILS Maxim</t>
  </si>
  <si>
    <t>BEL19991106*</t>
  </si>
  <si>
    <t>VAN OEVELEN Wanne</t>
  </si>
  <si>
    <t>*BEL19980331</t>
  </si>
  <si>
    <t>VAN STEENSEL Mats</t>
  </si>
  <si>
    <t>CZE19991001*</t>
  </si>
  <si>
    <t xml:space="preserve">VANÍČEK Šimon </t>
  </si>
  <si>
    <t>CZE19971111</t>
  </si>
  <si>
    <t>VÁVRA Marek</t>
  </si>
  <si>
    <t>*SVK19980903</t>
  </si>
  <si>
    <t>VOJTEK Miloš</t>
  </si>
  <si>
    <t>S 7223</t>
  </si>
  <si>
    <t>*CZE19980519</t>
  </si>
  <si>
    <t xml:space="preserve">VOSTREJŽ David </t>
  </si>
  <si>
    <t>SVK19991205*</t>
  </si>
  <si>
    <t>VRANKO Daniel</t>
  </si>
  <si>
    <t>S 7449</t>
  </si>
  <si>
    <t>AUT19971029</t>
  </si>
  <si>
    <t>WAIBEL Christian</t>
  </si>
  <si>
    <t>*GER19980724</t>
  </si>
  <si>
    <t>WEBER Philip</t>
  </si>
  <si>
    <t>POL20000206*</t>
  </si>
  <si>
    <t>WENGLORZ Michał</t>
  </si>
  <si>
    <t>AUT19970406</t>
  </si>
  <si>
    <t>WINTER Stefan</t>
  </si>
  <si>
    <t>*POL19980509</t>
  </si>
  <si>
    <t>WŁODARCZYK Damian</t>
  </si>
  <si>
    <t>LOD057</t>
  </si>
  <si>
    <t>GER19970701</t>
  </si>
  <si>
    <t>ZETZSCHE Till</t>
  </si>
  <si>
    <t>*GER19980906</t>
  </si>
  <si>
    <t>ZSCHOCKE Maximilian</t>
  </si>
  <si>
    <t>GER19991106*</t>
  </si>
  <si>
    <t>ZUGEHÖR Anton</t>
  </si>
  <si>
    <t>BRA043963</t>
  </si>
  <si>
    <t>BRA604254</t>
  </si>
  <si>
    <t>BRA044498</t>
  </si>
  <si>
    <t>BRA044003</t>
  </si>
  <si>
    <t>BRA062804</t>
  </si>
  <si>
    <t>BRA043275</t>
  </si>
  <si>
    <t>BRA043863</t>
  </si>
  <si>
    <t>BRA043938</t>
  </si>
  <si>
    <t>GER19970217</t>
  </si>
  <si>
    <t>SCHMIEDEL Sebastian</t>
  </si>
  <si>
    <t>THÜRINGER RADSPORT VERBAND</t>
  </si>
  <si>
    <t>THÜ134870</t>
  </si>
  <si>
    <t>THU</t>
  </si>
  <si>
    <t>GER19970725</t>
  </si>
  <si>
    <t>MAGDEBURG Tobias</t>
  </si>
  <si>
    <t>THÜ173735</t>
  </si>
  <si>
    <t>GER19970811</t>
  </si>
  <si>
    <t>LINTZEL Philip</t>
  </si>
  <si>
    <t>THÜ173079</t>
  </si>
  <si>
    <t>*GER19980425</t>
  </si>
  <si>
    <t>WITTMANN Hannes</t>
  </si>
  <si>
    <t>THÜ173829</t>
  </si>
  <si>
    <t>*GER19980410</t>
  </si>
  <si>
    <t>DÖPEL Robin</t>
  </si>
  <si>
    <t>THÜ173350</t>
  </si>
  <si>
    <t>*GER19980416</t>
  </si>
  <si>
    <t>KÄßMANN Fabian</t>
  </si>
  <si>
    <t>THÜ173410</t>
  </si>
  <si>
    <t>GER19991107*</t>
  </si>
  <si>
    <t>ASCHENBRENNER Michel</t>
  </si>
  <si>
    <t>THÜ173666</t>
  </si>
  <si>
    <t>GER19990507*</t>
  </si>
  <si>
    <t>PAKALSKI Henrik</t>
  </si>
  <si>
    <t>THÜ043870</t>
  </si>
  <si>
    <t>GER19990212*</t>
  </si>
  <si>
    <t>WELLENDORF Lukas</t>
  </si>
  <si>
    <t>THÜ173400</t>
  </si>
  <si>
    <t>GER19990514*</t>
  </si>
  <si>
    <t>BANZER Johannes</t>
  </si>
  <si>
    <t>THÜ173510</t>
  </si>
  <si>
    <t>CZE19990521*</t>
  </si>
  <si>
    <t xml:space="preserve">CINK Jan </t>
  </si>
  <si>
    <t>CZE20001025*</t>
  </si>
  <si>
    <t xml:space="preserve">KLIMEK David </t>
  </si>
  <si>
    <t>CZE20000911*</t>
  </si>
  <si>
    <t xml:space="preserve">KMÍNEK Vojtěch </t>
  </si>
  <si>
    <t>SAC142218</t>
  </si>
  <si>
    <t>SAC142150</t>
  </si>
  <si>
    <t>SAC135276</t>
  </si>
  <si>
    <t>SAC134961</t>
  </si>
  <si>
    <t>SAC135966</t>
  </si>
  <si>
    <t>SAC136049</t>
  </si>
  <si>
    <t>SAC095804</t>
  </si>
  <si>
    <t>SAC135307</t>
  </si>
  <si>
    <t>SAC135079</t>
  </si>
  <si>
    <t>SAC142235</t>
  </si>
  <si>
    <t>MIX1 - CK FESO PETŘVALD</t>
  </si>
  <si>
    <t>MIX1 - ACK STARÁ VES NAD ONDŘEJNICÍ</t>
  </si>
  <si>
    <t xml:space="preserve">MIX1 - GRUPA KOLARSKA GLIWICE </t>
  </si>
  <si>
    <t>SLA300</t>
  </si>
  <si>
    <t>SLA288</t>
  </si>
  <si>
    <t>SLA284</t>
  </si>
  <si>
    <t>INDEKA Kamil</t>
  </si>
  <si>
    <t>SLA643</t>
  </si>
  <si>
    <t>BEL19990101*</t>
  </si>
  <si>
    <t>VAN LAER Jan</t>
  </si>
  <si>
    <t>KOV</t>
  </si>
  <si>
    <t>BER032308</t>
  </si>
  <si>
    <t>BAY029445</t>
  </si>
  <si>
    <t>BER032252</t>
  </si>
  <si>
    <t>BER032411</t>
  </si>
  <si>
    <t>HAM062815</t>
  </si>
  <si>
    <t>HAM062726</t>
  </si>
  <si>
    <t>BER034971</t>
  </si>
  <si>
    <t>BER035135</t>
  </si>
  <si>
    <t>BER035062</t>
  </si>
  <si>
    <t>HAM051122</t>
  </si>
  <si>
    <t>BER032402</t>
  </si>
  <si>
    <t>GER19971221</t>
  </si>
  <si>
    <t>BAUMANN Kian</t>
  </si>
  <si>
    <t>BRE051095</t>
  </si>
  <si>
    <t>JUNIOR</t>
  </si>
  <si>
    <t>CPP</t>
  </si>
  <si>
    <t>ČECH Martin</t>
  </si>
  <si>
    <t>SVK19990529*</t>
  </si>
  <si>
    <t>LIŠKA Daniel</t>
  </si>
  <si>
    <t>S 7011</t>
  </si>
  <si>
    <t>SGT</t>
  </si>
  <si>
    <t>*SVK19981117</t>
  </si>
  <si>
    <t>ZEMAN Alex</t>
  </si>
  <si>
    <t>S 6021</t>
  </si>
  <si>
    <t>*SVK19980324</t>
  </si>
  <si>
    <t>KOVÁČ Milan</t>
  </si>
  <si>
    <t>S 5908</t>
  </si>
  <si>
    <t>SVK19970107</t>
  </si>
  <si>
    <t>JANIKOVSKÝ Lukáš</t>
  </si>
  <si>
    <t>S 7035</t>
  </si>
  <si>
    <t>SVK19970207</t>
  </si>
  <si>
    <t>GAVENDA Miroslav</t>
  </si>
  <si>
    <t>S 6366</t>
  </si>
  <si>
    <t>SVK19970906</t>
  </si>
  <si>
    <t>HLOŽA Michal</t>
  </si>
  <si>
    <t>S 6501</t>
  </si>
  <si>
    <t>DLS198</t>
  </si>
  <si>
    <t>DLS196</t>
  </si>
  <si>
    <t>DLS186</t>
  </si>
  <si>
    <t>SVK20000619*</t>
  </si>
  <si>
    <t>COMA Richard</t>
  </si>
  <si>
    <t>S 6808</t>
  </si>
  <si>
    <t>PRUDEK Dominik</t>
  </si>
  <si>
    <t>SLA451</t>
  </si>
  <si>
    <t>SLA458</t>
  </si>
  <si>
    <t>GRASL Patrick</t>
  </si>
  <si>
    <t>počet závodíků / num. of riders: 148</t>
  </si>
  <si>
    <t>počet závodíků / num. of riders:</t>
  </si>
  <si>
    <t>BEL</t>
  </si>
  <si>
    <t>AUT</t>
  </si>
  <si>
    <t xml:space="preserve">MIX1 - ACK STARÁ VES </t>
  </si>
  <si>
    <t>Lanškroun (CZE)</t>
  </si>
  <si>
    <t>2. etapa / 2nd Stage</t>
  </si>
  <si>
    <t>3. etapa / 3rd Stage</t>
  </si>
  <si>
    <r>
      <rPr>
        <b/>
        <sz val="9"/>
        <rFont val="Calibri"/>
        <family val="2"/>
      </rPr>
      <t>4. etapa / 4th Stage</t>
    </r>
    <r>
      <rPr>
        <sz val="9"/>
        <rFont val="Calibri"/>
        <family val="2"/>
      </rPr>
      <t xml:space="preserve"> </t>
    </r>
  </si>
  <si>
    <t>MIX1 - CK OLYMPIK TRNAVA</t>
  </si>
  <si>
    <t>MIX2  - VELO - CLUB CIRKL Č.BUDĚJOVICE</t>
  </si>
  <si>
    <t xml:space="preserve">MIX2  - SUPERIOR BRENTJENS MTB TEAM </t>
  </si>
  <si>
    <t xml:space="preserve">MIX2  - TJ KOVO PRAHA </t>
  </si>
  <si>
    <t xml:space="preserve">MIX2  - SP KOLO LOAP SPECIALIZED </t>
  </si>
  <si>
    <t>MIX2  - WZW TIELTSE RENNERSCLUB</t>
  </si>
  <si>
    <t xml:space="preserve">MIX2  - VRV TEAM </t>
  </si>
  <si>
    <t xml:space="preserve">MIX3 - ČEZ CYKLO TEAM TÁBOR </t>
  </si>
  <si>
    <t xml:space="preserve">MIX3 - CK PŘÍBRAM - FANY GASTRO </t>
  </si>
  <si>
    <t xml:space="preserve">MIX3 - AC SPARTA PRAHA </t>
  </si>
  <si>
    <t xml:space="preserve">MIX3 - TJ ZČE CYKLISTIKA PLZEŇ </t>
  </si>
  <si>
    <t>MIX4 - KC KOOPERATIVA SG JABLONEC N.N</t>
  </si>
  <si>
    <t xml:space="preserve">MIX4 - YOUNG TELENET FIDEA CYCLING </t>
  </si>
  <si>
    <t xml:space="preserve">MIX4 - REMERX - MERIDA TEAM KOLÍN </t>
  </si>
  <si>
    <t>MIX5 - TJ SLAVIA SG TRENČÍN</t>
  </si>
  <si>
    <t>MIX5 - DSR AUTHOR GÓRNIK WAŁBRZYCH</t>
  </si>
  <si>
    <t>MIX6 - CYKLISTICKÝ SPOLOK ŽILINA</t>
  </si>
  <si>
    <t xml:space="preserve">MIX6 - TJ FAVORIT BRNO </t>
  </si>
  <si>
    <t>MIX7 - DOBRE SKLEPY ROWEROWE AUTHOR PSZCZYNA</t>
  </si>
  <si>
    <t>MIX7 - RLM WIEN (RADLEISTUNGSMODELL WIEN)</t>
  </si>
  <si>
    <t>MIX7 - MLKS WIELUŃ</t>
  </si>
  <si>
    <t xml:space="preserve">MIX8 - SKP DUHA FORT LANŠKROUN </t>
  </si>
  <si>
    <t xml:space="preserve">MIX8 - WHIRLPOOL AUTHOR JUNIOR TEAM </t>
  </si>
  <si>
    <t xml:space="preserve">MIX8 - CK MTB MARATON HLINSKO </t>
  </si>
  <si>
    <t xml:space="preserve">MIX8 - TJ UNIČOV </t>
  </si>
  <si>
    <t>MIX8 - CK KARPATY SMOLENICE</t>
  </si>
  <si>
    <t>MIX7 - RLM WIEN</t>
  </si>
  <si>
    <t>MIX6 - TJ FAVORIT BRNO</t>
  </si>
  <si>
    <t xml:space="preserve">MIX4 - KC KOOPERATIVA SG </t>
  </si>
  <si>
    <t xml:space="preserve">MIX2 - TJ KOVO PRAHA </t>
  </si>
  <si>
    <t xml:space="preserve">MIX3 - ČEZ CYKLO TEAM TÁBOR, CK PŘÍBRAM - FANY GASTRO, AC SPARTA PRAHA, TJ ZČE CYKLISTIKA PLZEŇ </t>
  </si>
  <si>
    <t xml:space="preserve">MIX4 - KC KOOPERATIVA SG, YOUNG TELENET FIDEA CYCLING, REMERX - MERIDA TEAM KOLÍN </t>
  </si>
  <si>
    <t>MIX2 - TJ KOVO PRAHA, VELO - CLUB CIRKL, SUPERIOR BRENTJENS MTB TEAM, SP KOLO, WZW TIELTSE RC,  VRV TEAM</t>
  </si>
  <si>
    <t>MIX7 - RLM WIEN, MLKS WIELUŃ, DOBRE SKLEPY ROWEROWE AUTHOR PSZCZYNA</t>
  </si>
  <si>
    <t xml:space="preserve">MIX8 - SKP DUHA FORT LANŠKROUN, WHIRLPOOL AUTHOR JUN, CK MTB MARATON HLINSKO, TJ UNIČOV, CK KARPATY </t>
  </si>
  <si>
    <t>MIX5 - TJ SLAVIA SG TRENČÍN, DSR AUTHOR GÓRNIK WAŁBRZYCH</t>
  </si>
  <si>
    <t>MIX1 - CK FESO PETŘVALD, ACK STARÁ VES NAD ONDŘEJNICÍ, GRUPA KOLARSKA GLIWICE, CK OLYMPIK TRNAVA</t>
  </si>
  <si>
    <t>MIX6 - TJ FAVORIT BRNO, CYKLISTICKÝ SPOLOK ŽILINA</t>
  </si>
  <si>
    <t>MIX4 - KC KOOPERATIVA</t>
  </si>
  <si>
    <t xml:space="preserve">MIX7 - RLM WIEN </t>
  </si>
  <si>
    <t>MIX2 - TJ KOVO PRAHA</t>
  </si>
  <si>
    <t>MIX1 - ACK STARÁ VES (SLZ)</t>
  </si>
  <si>
    <t>MIX3 -  ČEZ CYKLO TEAM TÁBOR (CPP)</t>
  </si>
  <si>
    <t>3. / 3rd</t>
  </si>
  <si>
    <t>V Ý P L A T N Í   L I S T I N A  /   P A Y R O L L</t>
  </si>
  <si>
    <t xml:space="preserve">PODPIS </t>
  </si>
  <si>
    <t>No</t>
  </si>
  <si>
    <t>Prize</t>
  </si>
  <si>
    <t>No (Sum)</t>
  </si>
  <si>
    <t>Sum</t>
  </si>
  <si>
    <t>TOTAL</t>
  </si>
  <si>
    <t>CELKEM / SUMMARY</t>
  </si>
  <si>
    <t>ZA DRES / PER JERSEY</t>
  </si>
  <si>
    <t>ETAPA / Stage</t>
  </si>
  <si>
    <t>1.  /  1st</t>
  </si>
  <si>
    <t>3. / 3.rd</t>
  </si>
  <si>
    <t>4. / 4th</t>
  </si>
  <si>
    <t>TOTAL 1</t>
  </si>
  <si>
    <t>TOTAL 2</t>
  </si>
  <si>
    <t>žlutý / yellow</t>
  </si>
  <si>
    <t>modré puntíky / blue dots</t>
  </si>
  <si>
    <t>červené puntíky / red dots</t>
  </si>
  <si>
    <t>bílý / white</t>
  </si>
  <si>
    <t>CELKOVÉ UMÍSTĚNÍ / OVERALL STANDING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</si>
  <si>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</si>
  <si>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</si>
  <si>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</si>
  <si>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</si>
  <si>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</si>
  <si>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</si>
  <si>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</si>
  <si>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</si>
  <si>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</si>
  <si>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</si>
  <si>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POL19971003</t>
  </si>
  <si>
    <r>
      <rPr>
        <b/>
        <sz val="10"/>
        <rFont val="Calibri"/>
        <family val="2"/>
      </rPr>
      <t>bílý / white</t>
    </r>
    <r>
      <rPr>
        <sz val="10"/>
        <rFont val="Calibri"/>
        <family val="2"/>
      </rPr>
      <t xml:space="preserve"> </t>
    </r>
    <r>
      <rPr>
        <sz val="9"/>
        <rFont val="Calibri"/>
        <family val="2"/>
      </rPr>
      <t>(best junior '98)</t>
    </r>
    <r>
      <rPr>
        <sz val="10"/>
        <rFont val="Calibri"/>
        <family val="2"/>
      </rPr>
      <t xml:space="preserve">    </t>
    </r>
  </si>
  <si>
    <r>
      <rPr>
        <b/>
        <sz val="9"/>
        <rFont val="Calibri"/>
        <family val="2"/>
      </rPr>
      <t>1. etapa</t>
    </r>
    <r>
      <rPr>
        <sz val="9"/>
        <rFont val="Calibri"/>
        <family val="2"/>
      </rPr>
      <t xml:space="preserve"> </t>
    </r>
    <r>
      <rPr>
        <b/>
        <sz val="9"/>
        <rFont val="Calibri"/>
        <family val="2"/>
      </rPr>
      <t>/ 1st Stage</t>
    </r>
  </si>
  <si>
    <t>počet závodíků / num. of riders: 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</si>
</sst>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h]:mm"/>
    <numFmt numFmtId="165" formatCode="h:mm:ss.000"/>
    <numFmt numFmtId="166" formatCode="[h]:mm:ss;@"/>
  </numFmts>
  <fonts count="101" x14ac:knownFonts="1">
    <font>
      <sz val="10"/>
      <name val="Arial"/>
    </font>
    <font>
      <sz val="10"/>
      <name val="Arial"/>
      <family val="2"/>
      <charset val="238"/>
    </font>
    <font>
      <sz val="10"/>
      <name val="Arial CE"/>
    </font>
    <font>
      <sz val="9"/>
      <name val="Calibri"/>
      <family val="2"/>
    </font>
    <font>
      <b/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2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8"/>
      <name val="Arial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b/>
      <sz val="20"/>
      <color indexed="8"/>
      <name val="Calibri"/>
      <family val="2"/>
    </font>
    <font>
      <b/>
      <i/>
      <sz val="14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i/>
      <sz val="14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6"/>
      <color theme="1" tint="0.34998626667073579"/>
      <name val="Calibri"/>
      <family val="2"/>
    </font>
    <font>
      <b/>
      <sz val="10"/>
      <color theme="0"/>
      <name val="Calibri"/>
      <family val="2"/>
    </font>
    <font>
      <b/>
      <sz val="10"/>
      <color rgb="FFFF0000"/>
      <name val="Arial"/>
      <family val="2"/>
      <charset val="238"/>
    </font>
    <font>
      <b/>
      <sz val="22"/>
      <color indexed="8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</font>
    <font>
      <b/>
      <sz val="12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Calibri"/>
      <family val="2"/>
      <charset val="238"/>
    </font>
    <font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4"/>
      <color rgb="FF00B050"/>
      <name val="Arial"/>
      <family val="2"/>
      <charset val="238"/>
    </font>
    <font>
      <b/>
      <sz val="24"/>
      <color rgb="FFFF0000"/>
      <name val="Arial"/>
      <family val="2"/>
      <charset val="238"/>
    </font>
    <font>
      <sz val="1"/>
      <color indexed="8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2"/>
      <color indexed="8"/>
      <name val="Calibri"/>
      <family val="2"/>
      <scheme val="minor"/>
    </font>
    <font>
      <sz val="7"/>
      <color indexed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scheme val="minor"/>
    </font>
    <font>
      <sz val="8"/>
      <name val="Calibri"/>
      <family val="2"/>
      <charset val="238"/>
    </font>
    <font>
      <b/>
      <i/>
      <sz val="9"/>
      <name val="Calibri"/>
      <family val="2"/>
      <scheme val="minor"/>
    </font>
    <font>
      <i/>
      <sz val="9"/>
      <name val="Calibri"/>
      <family val="2"/>
    </font>
    <font>
      <sz val="9"/>
      <name val="Arial"/>
      <family val="2"/>
    </font>
    <font>
      <b/>
      <i/>
      <sz val="9"/>
      <name val="Calibri"/>
      <family val="2"/>
    </font>
    <font>
      <b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b/>
      <sz val="18"/>
      <name val="Calibri"/>
      <family val="2"/>
      <charset val="238"/>
    </font>
    <font>
      <b/>
      <sz val="12"/>
      <name val="Calibri"/>
      <family val="2"/>
    </font>
    <font>
      <b/>
      <sz val="8"/>
      <name val="Calibri"/>
      <family val="2"/>
      <charset val="238"/>
    </font>
    <font>
      <sz val="8"/>
      <name val="Calibri"/>
      <family val="2"/>
    </font>
    <font>
      <sz val="12"/>
      <name val="Calibri"/>
      <family val="2"/>
    </font>
    <font>
      <b/>
      <sz val="20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6"/>
      <color indexed="55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F5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33"/>
        <bgColor indexed="64"/>
      </patternFill>
    </fill>
    <fill>
      <patternFill patternType="gray0625">
        <fgColor rgb="FFFF0000"/>
      </patternFill>
    </fill>
    <fill>
      <patternFill patternType="gray0625">
        <fgColor rgb="FFFF000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indexed="8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  <border>
      <left/>
      <right/>
      <top/>
      <bottom style="hair">
        <color theme="1" tint="0.499984740745262"/>
      </bottom>
      <diagonal/>
    </border>
    <border>
      <left style="hair">
        <color indexed="8"/>
      </left>
      <right style="hair">
        <color indexed="8"/>
      </right>
      <top/>
      <bottom style="hair">
        <color theme="1" tint="0.499984740745262"/>
      </bottom>
      <diagonal/>
    </border>
    <border>
      <left/>
      <right style="hair">
        <color indexed="8"/>
      </right>
      <top/>
      <bottom style="hair">
        <color theme="1" tint="0.499984740745262"/>
      </bottom>
      <diagonal/>
    </border>
    <border>
      <left style="thin">
        <color indexed="8"/>
      </left>
      <right style="hair">
        <color indexed="8"/>
      </right>
      <top/>
      <bottom style="hair">
        <color theme="1" tint="0.499984740745262"/>
      </bottom>
      <diagonal/>
    </border>
    <border diagonalUp="1">
      <left style="thin">
        <color indexed="8"/>
      </left>
      <right style="hair">
        <color indexed="8"/>
      </right>
      <top style="medium">
        <color indexed="8"/>
      </top>
      <bottom/>
      <diagonal style="dotted">
        <color theme="0" tint="-0.499984740745262"/>
      </diagonal>
    </border>
    <border diagonalUp="1">
      <left style="hair">
        <color indexed="8"/>
      </left>
      <right style="hair">
        <color indexed="8"/>
      </right>
      <top style="medium">
        <color indexed="8"/>
      </top>
      <bottom/>
      <diagonal style="dotted">
        <color theme="0" tint="-0.499984740745262"/>
      </diagonal>
    </border>
    <border diagonalUp="1">
      <left style="hair">
        <color indexed="8"/>
      </left>
      <right style="thin">
        <color indexed="8"/>
      </right>
      <top style="medium">
        <color indexed="8"/>
      </top>
      <bottom/>
      <diagonal style="dotted">
        <color theme="0" tint="-0.499984740745262"/>
      </diagonal>
    </border>
    <border diagonalUp="1">
      <left style="thin">
        <color indexed="8"/>
      </left>
      <right style="hair">
        <color indexed="8"/>
      </right>
      <top/>
      <bottom style="hair">
        <color theme="1" tint="0.499984740745262"/>
      </bottom>
      <diagonal style="dotted">
        <color theme="0" tint="-0.499984740745262"/>
      </diagonal>
    </border>
    <border diagonalUp="1">
      <left style="hair">
        <color indexed="8"/>
      </left>
      <right style="hair">
        <color indexed="8"/>
      </right>
      <top/>
      <bottom style="hair">
        <color theme="1" tint="0.499984740745262"/>
      </bottom>
      <diagonal style="dotted">
        <color theme="0" tint="-0.499984740745262"/>
      </diagonal>
    </border>
    <border diagonalUp="1">
      <left style="hair">
        <color indexed="8"/>
      </left>
      <right style="thin">
        <color indexed="8"/>
      </right>
      <top/>
      <bottom style="hair">
        <color theme="1" tint="0.499984740745262"/>
      </bottom>
      <diagonal style="dotted">
        <color theme="0" tint="-0.499984740745262"/>
      </diagonal>
    </border>
    <border>
      <left/>
      <right/>
      <top/>
      <bottom style="medium">
        <color indexed="64"/>
      </bottom>
      <diagonal/>
    </border>
    <border>
      <left/>
      <right/>
      <top style="thin">
        <color theme="1" tint="0.14999847407452621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1" tint="0.14999847407452621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hair">
        <color theme="1" tint="0.499984740745262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414">
    <xf numFmtId="0" fontId="0" fillId="0" borderId="0" xfId="0"/>
    <xf numFmtId="0" fontId="36" fillId="9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6" fillId="0" borderId="0" xfId="0" applyFont="1" applyFill="1" applyProtection="1">
      <protection hidden="1"/>
    </xf>
    <xf numFmtId="0" fontId="27" fillId="10" borderId="0" xfId="0" applyFont="1" applyFill="1" applyProtection="1">
      <protection hidden="1"/>
    </xf>
    <xf numFmtId="0" fontId="36" fillId="9" borderId="0" xfId="0" applyFont="1" applyFill="1" applyAlignment="1" applyProtection="1">
      <alignment horizontal="left"/>
      <protection hidden="1"/>
    </xf>
    <xf numFmtId="0" fontId="25" fillId="0" borderId="6" xfId="0" applyFont="1" applyBorder="1" applyProtection="1">
      <protection hidden="1"/>
    </xf>
    <xf numFmtId="0" fontId="25" fillId="0" borderId="7" xfId="0" applyFont="1" applyBorder="1" applyProtection="1">
      <protection hidden="1"/>
    </xf>
    <xf numFmtId="0" fontId="25" fillId="0" borderId="8" xfId="0" applyFont="1" applyBorder="1" applyProtection="1">
      <protection hidden="1"/>
    </xf>
    <xf numFmtId="0" fontId="25" fillId="0" borderId="9" xfId="0" applyFont="1" applyBorder="1" applyProtection="1">
      <protection hidden="1"/>
    </xf>
    <xf numFmtId="0" fontId="54" fillId="0" borderId="0" xfId="0" applyFont="1" applyBorder="1" applyProtection="1">
      <protection hidden="1"/>
    </xf>
    <xf numFmtId="0" fontId="25" fillId="0" borderId="10" xfId="0" applyFont="1" applyBorder="1" applyProtection="1">
      <protection hidden="1"/>
    </xf>
    <xf numFmtId="0" fontId="27" fillId="0" borderId="0" xfId="0" applyFont="1" applyAlignment="1" applyProtection="1">
      <alignment horizontal="right"/>
      <protection hidden="1"/>
    </xf>
    <xf numFmtId="14" fontId="27" fillId="0" borderId="0" xfId="0" applyNumberFormat="1" applyFont="1" applyProtection="1">
      <protection hidden="1"/>
    </xf>
    <xf numFmtId="0" fontId="27" fillId="0" borderId="0" xfId="0" applyNumberFormat="1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5" fillId="0" borderId="11" xfId="0" applyFont="1" applyBorder="1" applyProtection="1">
      <protection hidden="1"/>
    </xf>
    <xf numFmtId="0" fontId="25" fillId="0" borderId="5" xfId="0" applyFont="1" applyBorder="1" applyProtection="1">
      <protection hidden="1"/>
    </xf>
    <xf numFmtId="0" fontId="25" fillId="0" borderId="12" xfId="0" applyFont="1" applyBorder="1" applyProtection="1">
      <protection hidden="1"/>
    </xf>
    <xf numFmtId="0" fontId="27" fillId="0" borderId="0" xfId="0" applyFont="1" applyFill="1" applyProtection="1">
      <protection hidden="1"/>
    </xf>
    <xf numFmtId="0" fontId="72" fillId="0" borderId="0" xfId="0" applyFont="1" applyFill="1" applyProtection="1">
      <protection hidden="1"/>
    </xf>
    <xf numFmtId="0" fontId="72" fillId="0" borderId="0" xfId="0" applyFont="1" applyProtection="1">
      <protection hidden="1"/>
    </xf>
    <xf numFmtId="0" fontId="56" fillId="24" borderId="0" xfId="0" applyFont="1" applyFill="1" applyBorder="1" applyAlignment="1" applyProtection="1">
      <alignment horizontal="right"/>
      <protection hidden="1"/>
    </xf>
    <xf numFmtId="0" fontId="7" fillId="24" borderId="0" xfId="0" applyFont="1" applyFill="1" applyBorder="1" applyAlignment="1" applyProtection="1">
      <alignment horizontal="right"/>
      <protection hidden="1"/>
    </xf>
    <xf numFmtId="0" fontId="25" fillId="24" borderId="0" xfId="0" applyFont="1" applyFill="1" applyBorder="1" applyAlignment="1" applyProtection="1">
      <alignment horizontal="right"/>
      <protection hidden="1"/>
    </xf>
    <xf numFmtId="0" fontId="73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Protection="1">
      <protection hidden="1"/>
    </xf>
    <xf numFmtId="0" fontId="35" fillId="0" borderId="0" xfId="0" applyFont="1" applyAlignment="1" applyProtection="1">
      <alignment horizontal="left" vertical="center"/>
      <protection hidden="1"/>
    </xf>
    <xf numFmtId="0" fontId="39" fillId="0" borderId="0" xfId="0" applyFont="1" applyProtection="1">
      <protection hidden="1"/>
    </xf>
    <xf numFmtId="0" fontId="39" fillId="0" borderId="0" xfId="0" applyFon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40" fillId="0" borderId="0" xfId="0" applyFont="1" applyBorder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25" fillId="0" borderId="0" xfId="0" applyFont="1" applyAlignment="1" applyProtection="1">
      <alignment horizontal="center"/>
      <protection hidden="1"/>
    </xf>
    <xf numFmtId="0" fontId="32" fillId="4" borderId="3" xfId="0" applyFont="1" applyFill="1" applyBorder="1" applyAlignment="1" applyProtection="1">
      <alignment horizontal="center" vertical="center"/>
      <protection hidden="1"/>
    </xf>
    <xf numFmtId="0" fontId="33" fillId="4" borderId="4" xfId="0" applyFont="1" applyFill="1" applyBorder="1" applyAlignment="1" applyProtection="1">
      <alignment horizontal="center" vertical="center"/>
      <protection hidden="1"/>
    </xf>
    <xf numFmtId="0" fontId="25" fillId="0" borderId="14" xfId="0" applyFont="1" applyBorder="1" applyProtection="1">
      <protection hidden="1"/>
    </xf>
    <xf numFmtId="0" fontId="25" fillId="0" borderId="14" xfId="0" applyFont="1" applyBorder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0" fontId="30" fillId="3" borderId="13" xfId="0" applyFont="1" applyFill="1" applyBorder="1" applyAlignment="1" applyProtection="1">
      <alignment vertical="center"/>
      <protection hidden="1"/>
    </xf>
    <xf numFmtId="0" fontId="31" fillId="3" borderId="13" xfId="0" applyFont="1" applyFill="1" applyBorder="1" applyAlignment="1" applyProtection="1">
      <alignment vertical="center"/>
      <protection hidden="1"/>
    </xf>
    <xf numFmtId="0" fontId="30" fillId="3" borderId="0" xfId="0" applyFont="1" applyFill="1" applyBorder="1" applyAlignment="1" applyProtection="1">
      <alignment horizontal="right" vertical="center"/>
      <protection hidden="1"/>
    </xf>
    <xf numFmtId="0" fontId="30" fillId="3" borderId="21" xfId="0" applyNumberFormat="1" applyFont="1" applyFill="1" applyBorder="1" applyAlignment="1" applyProtection="1">
      <alignment horizontal="center" vertical="center"/>
      <protection hidden="1"/>
    </xf>
    <xf numFmtId="1" fontId="61" fillId="5" borderId="21" xfId="0" applyNumberFormat="1" applyFont="1" applyFill="1" applyBorder="1" applyAlignment="1" applyProtection="1">
      <alignment horizontal="center" vertical="center"/>
      <protection hidden="1"/>
    </xf>
    <xf numFmtId="1" fontId="3" fillId="5" borderId="21" xfId="0" applyNumberFormat="1" applyFont="1" applyFill="1" applyBorder="1" applyAlignment="1" applyProtection="1">
      <alignment horizontal="center" vertical="center"/>
      <protection hidden="1"/>
    </xf>
    <xf numFmtId="1" fontId="8" fillId="5" borderId="21" xfId="0" applyNumberFormat="1" applyFont="1" applyFill="1" applyBorder="1" applyAlignment="1" applyProtection="1">
      <alignment horizontal="left" vertical="center"/>
      <protection hidden="1"/>
    </xf>
    <xf numFmtId="0" fontId="3" fillId="5" borderId="21" xfId="0" applyNumberFormat="1" applyFont="1" applyFill="1" applyBorder="1" applyAlignment="1" applyProtection="1">
      <alignment horizontal="center" vertical="center"/>
      <protection hidden="1"/>
    </xf>
    <xf numFmtId="20" fontId="29" fillId="5" borderId="21" xfId="0" applyNumberFormat="1" applyFont="1" applyFill="1" applyBorder="1" applyAlignment="1" applyProtection="1">
      <alignment horizontal="center" vertical="center"/>
      <protection hidden="1"/>
    </xf>
    <xf numFmtId="0" fontId="60" fillId="0" borderId="0" xfId="0" applyFont="1" applyProtection="1">
      <protection hidden="1"/>
    </xf>
    <xf numFmtId="0" fontId="38" fillId="3" borderId="21" xfId="0" applyNumberFormat="1" applyFont="1" applyFill="1" applyBorder="1" applyAlignment="1" applyProtection="1">
      <alignment horizontal="center" vertical="center"/>
      <protection hidden="1"/>
    </xf>
    <xf numFmtId="1" fontId="4" fillId="5" borderId="21" xfId="0" applyNumberFormat="1" applyFont="1" applyFill="1" applyBorder="1" applyAlignment="1" applyProtection="1">
      <alignment horizontal="left" vertical="center"/>
      <protection hidden="1"/>
    </xf>
    <xf numFmtId="0" fontId="31" fillId="3" borderId="0" xfId="0" applyFont="1" applyFill="1" applyBorder="1" applyAlignment="1" applyProtection="1">
      <alignment horizontal="left" vertical="center"/>
      <protection hidden="1"/>
    </xf>
    <xf numFmtId="0" fontId="30" fillId="3" borderId="0" xfId="0" applyFont="1" applyFill="1" applyBorder="1" applyAlignment="1" applyProtection="1">
      <alignment horizontal="left" vertical="center"/>
      <protection hidden="1"/>
    </xf>
    <xf numFmtId="0" fontId="30" fillId="3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37" fillId="0" borderId="0" xfId="0" applyFont="1" applyAlignment="1" applyProtection="1">
      <protection hidden="1"/>
    </xf>
    <xf numFmtId="0" fontId="26" fillId="0" borderId="0" xfId="0" applyFont="1" applyBorder="1" applyAlignment="1" applyProtection="1">
      <alignment horizontal="right" vertical="center"/>
      <protection hidden="1"/>
    </xf>
    <xf numFmtId="0" fontId="3" fillId="0" borderId="0" xfId="2" applyFont="1" applyFill="1" applyBorder="1" applyAlignment="1" applyProtection="1">
      <alignment horizontal="left"/>
      <protection hidden="1"/>
    </xf>
    <xf numFmtId="0" fontId="25" fillId="0" borderId="0" xfId="0" applyFont="1" applyAlignment="1" applyProtection="1">
      <alignment horizontal="right"/>
      <protection hidden="1"/>
    </xf>
    <xf numFmtId="0" fontId="29" fillId="0" borderId="0" xfId="0" applyFont="1" applyBorder="1" applyAlignment="1" applyProtection="1">
      <alignment horizontal="right" vertical="center"/>
      <protection hidden="1"/>
    </xf>
    <xf numFmtId="0" fontId="30" fillId="3" borderId="2" xfId="0" applyFont="1" applyFill="1" applyBorder="1" applyAlignment="1" applyProtection="1">
      <alignment vertical="center"/>
      <protection hidden="1"/>
    </xf>
    <xf numFmtId="0" fontId="31" fillId="3" borderId="2" xfId="0" applyFont="1" applyFill="1" applyBorder="1" applyAlignment="1" applyProtection="1">
      <alignment vertical="center"/>
      <protection hidden="1"/>
    </xf>
    <xf numFmtId="0" fontId="30" fillId="3" borderId="3" xfId="0" applyFont="1" applyFill="1" applyBorder="1" applyAlignment="1" applyProtection="1">
      <alignment horizontal="right" vertical="center"/>
      <protection hidden="1"/>
    </xf>
    <xf numFmtId="49" fontId="4" fillId="5" borderId="21" xfId="0" applyNumberFormat="1" applyFont="1" applyFill="1" applyBorder="1" applyAlignment="1" applyProtection="1">
      <alignment horizontal="left" vertical="center"/>
      <protection hidden="1"/>
    </xf>
    <xf numFmtId="1" fontId="3" fillId="5" borderId="21" xfId="0" applyNumberFormat="1" applyFont="1" applyFill="1" applyBorder="1" applyAlignment="1" applyProtection="1">
      <alignment vertical="center"/>
      <protection hidden="1"/>
    </xf>
    <xf numFmtId="0" fontId="3" fillId="5" borderId="21" xfId="0" applyNumberFormat="1" applyFont="1" applyFill="1" applyBorder="1" applyAlignment="1" applyProtection="1">
      <alignment horizontal="left" vertical="center"/>
      <protection hidden="1"/>
    </xf>
    <xf numFmtId="21" fontId="8" fillId="6" borderId="1" xfId="0" applyNumberFormat="1" applyFont="1" applyFill="1" applyBorder="1" applyAlignment="1" applyProtection="1">
      <alignment horizontal="center" vertical="center"/>
      <protection hidden="1"/>
    </xf>
    <xf numFmtId="21" fontId="26" fillId="5" borderId="2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59" fillId="0" borderId="0" xfId="0" applyFont="1" applyBorder="1" applyAlignment="1" applyProtection="1">
      <alignment vertical="center"/>
      <protection hidden="1"/>
    </xf>
    <xf numFmtId="0" fontId="35" fillId="3" borderId="0" xfId="0" applyFont="1" applyFill="1" applyBorder="1" applyAlignment="1" applyProtection="1">
      <alignment horizontal="left" vertical="center"/>
      <protection hidden="1"/>
    </xf>
    <xf numFmtId="0" fontId="35" fillId="0" borderId="0" xfId="0" applyFont="1" applyProtection="1">
      <protection hidden="1"/>
    </xf>
    <xf numFmtId="0" fontId="42" fillId="6" borderId="0" xfId="0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Protection="1">
      <protection hidden="1"/>
    </xf>
    <xf numFmtId="14" fontId="25" fillId="0" borderId="0" xfId="0" applyNumberFormat="1" applyFont="1" applyAlignment="1" applyProtection="1">
      <protection hidden="1"/>
    </xf>
    <xf numFmtId="0" fontId="75" fillId="0" borderId="0" xfId="0" applyFont="1" applyProtection="1">
      <protection hidden="1"/>
    </xf>
    <xf numFmtId="0" fontId="25" fillId="0" borderId="6" xfId="0" applyFont="1" applyFill="1" applyBorder="1" applyProtection="1">
      <protection hidden="1"/>
    </xf>
    <xf numFmtId="0" fontId="25" fillId="0" borderId="7" xfId="0" applyFont="1" applyFill="1" applyBorder="1" applyAlignment="1" applyProtection="1">
      <alignment horizontal="left"/>
      <protection hidden="1"/>
    </xf>
    <xf numFmtId="0" fontId="25" fillId="0" borderId="7" xfId="0" applyFont="1" applyFill="1" applyBorder="1" applyProtection="1">
      <protection hidden="1"/>
    </xf>
    <xf numFmtId="0" fontId="25" fillId="0" borderId="7" xfId="0" applyFont="1" applyFill="1" applyBorder="1" applyAlignment="1" applyProtection="1">
      <alignment horizontal="center"/>
      <protection hidden="1"/>
    </xf>
    <xf numFmtId="0" fontId="25" fillId="0" borderId="8" xfId="0" applyFont="1" applyFill="1" applyBorder="1" applyProtection="1">
      <protection hidden="1"/>
    </xf>
    <xf numFmtId="0" fontId="36" fillId="0" borderId="9" xfId="0" applyFont="1" applyFill="1" applyBorder="1" applyAlignment="1" applyProtection="1">
      <alignment horizontal="left" vertical="center"/>
      <protection hidden="1"/>
    </xf>
    <xf numFmtId="0" fontId="38" fillId="3" borderId="0" xfId="0" applyFont="1" applyFill="1" applyBorder="1" applyAlignment="1" applyProtection="1">
      <alignment horizontal="left" vertical="center"/>
      <protection hidden="1"/>
    </xf>
    <xf numFmtId="1" fontId="30" fillId="3" borderId="0" xfId="0" applyNumberFormat="1" applyFont="1" applyFill="1" applyBorder="1" applyAlignment="1" applyProtection="1">
      <alignment horizontal="left" vertical="center"/>
      <protection hidden="1"/>
    </xf>
    <xf numFmtId="0" fontId="38" fillId="3" borderId="0" xfId="0" applyFont="1" applyFill="1" applyBorder="1" applyAlignment="1" applyProtection="1">
      <alignment vertical="center"/>
      <protection hidden="1"/>
    </xf>
    <xf numFmtId="0" fontId="36" fillId="0" borderId="10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36" fillId="0" borderId="9" xfId="0" applyNumberFormat="1" applyFont="1" applyFill="1" applyBorder="1" applyAlignment="1" applyProtection="1">
      <alignment horizontal="center" vertical="center"/>
      <protection hidden="1"/>
    </xf>
    <xf numFmtId="0" fontId="76" fillId="5" borderId="0" xfId="0" applyNumberFormat="1" applyFont="1" applyFill="1" applyBorder="1" applyAlignment="1" applyProtection="1">
      <alignment horizontal="right" vertical="center"/>
      <protection hidden="1"/>
    </xf>
    <xf numFmtId="0" fontId="76" fillId="5" borderId="0" xfId="0" applyNumberFormat="1" applyFont="1" applyFill="1" applyBorder="1" applyAlignment="1" applyProtection="1">
      <alignment horizontal="center" vertical="center"/>
      <protection hidden="1"/>
    </xf>
    <xf numFmtId="1" fontId="77" fillId="5" borderId="0" xfId="0" applyNumberFormat="1" applyFont="1" applyFill="1" applyBorder="1" applyAlignment="1" applyProtection="1">
      <alignment horizontal="left" vertical="center"/>
      <protection hidden="1"/>
    </xf>
    <xf numFmtId="1" fontId="3" fillId="5" borderId="0" xfId="0" applyNumberFormat="1" applyFont="1" applyFill="1" applyBorder="1" applyAlignment="1" applyProtection="1">
      <alignment horizontal="left" vertical="center"/>
      <protection hidden="1"/>
    </xf>
    <xf numFmtId="0" fontId="36" fillId="0" borderId="10" xfId="0" applyNumberFormat="1" applyFont="1" applyFill="1" applyBorder="1" applyAlignment="1" applyProtection="1">
      <alignment horizontal="center" vertical="center"/>
      <protection hidden="1"/>
    </xf>
    <xf numFmtId="0" fontId="78" fillId="0" borderId="0" xfId="0" applyFont="1" applyBorder="1" applyAlignment="1" applyProtection="1">
      <alignment vertical="center"/>
      <protection hidden="1"/>
    </xf>
    <xf numFmtId="0" fontId="76" fillId="0" borderId="0" xfId="0" applyNumberFormat="1" applyFont="1" applyFill="1" applyBorder="1" applyAlignment="1" applyProtection="1">
      <alignment horizontal="right" vertical="center"/>
      <protection hidden="1"/>
    </xf>
    <xf numFmtId="0" fontId="76" fillId="0" borderId="0" xfId="0" applyNumberFormat="1" applyFont="1" applyFill="1" applyBorder="1" applyAlignment="1" applyProtection="1">
      <alignment horizontal="center" vertical="center"/>
      <protection hidden="1"/>
    </xf>
    <xf numFmtId="1" fontId="77" fillId="0" borderId="0" xfId="0" applyNumberFormat="1" applyFont="1" applyFill="1" applyBorder="1" applyAlignment="1" applyProtection="1">
      <alignment horizontal="left" vertical="center"/>
      <protection hidden="1"/>
    </xf>
    <xf numFmtId="1" fontId="3" fillId="0" borderId="0" xfId="0" applyNumberFormat="1" applyFont="1" applyFill="1" applyBorder="1" applyAlignment="1" applyProtection="1">
      <alignment horizontal="left" vertical="center"/>
      <protection hidden="1"/>
    </xf>
    <xf numFmtId="1" fontId="79" fillId="0" borderId="0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0" fontId="28" fillId="0" borderId="9" xfId="0" applyNumberFormat="1" applyFont="1" applyFill="1" applyBorder="1" applyAlignment="1" applyProtection="1">
      <alignment horizontal="center" vertical="center"/>
      <protection hidden="1"/>
    </xf>
    <xf numFmtId="1" fontId="3" fillId="5" borderId="21" xfId="0" applyNumberFormat="1" applyFont="1" applyFill="1" applyBorder="1" applyAlignment="1" applyProtection="1">
      <alignment horizontal="right" vertical="center"/>
      <protection hidden="1"/>
    </xf>
    <xf numFmtId="0" fontId="28" fillId="0" borderId="10" xfId="0" applyNumberFormat="1" applyFont="1" applyFill="1" applyBorder="1" applyAlignment="1" applyProtection="1">
      <alignment horizontal="center" vertical="center"/>
      <protection hidden="1"/>
    </xf>
    <xf numFmtId="0" fontId="28" fillId="0" borderId="11" xfId="0" applyNumberFormat="1" applyFont="1" applyFill="1" applyBorder="1" applyAlignment="1" applyProtection="1">
      <alignment horizontal="center" vertical="center"/>
      <protection hidden="1"/>
    </xf>
    <xf numFmtId="0" fontId="28" fillId="0" borderId="5" xfId="0" applyNumberFormat="1" applyFont="1" applyFill="1" applyBorder="1" applyAlignment="1" applyProtection="1">
      <alignment horizontal="left" vertical="center"/>
      <protection hidden="1"/>
    </xf>
    <xf numFmtId="0" fontId="28" fillId="0" borderId="5" xfId="0" applyNumberFormat="1" applyFont="1" applyFill="1" applyBorder="1" applyAlignment="1" applyProtection="1">
      <alignment horizontal="center" vertical="center"/>
      <protection hidden="1"/>
    </xf>
    <xf numFmtId="0" fontId="28" fillId="0" borderId="1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center"/>
      <protection hidden="1"/>
    </xf>
    <xf numFmtId="1" fontId="79" fillId="5" borderId="0" xfId="0" applyNumberFormat="1" applyFont="1" applyFill="1" applyBorder="1" applyAlignment="1" applyProtection="1">
      <alignment horizontal="left" vertical="center"/>
      <protection hidden="1"/>
    </xf>
    <xf numFmtId="0" fontId="7" fillId="0" borderId="0" xfId="0" applyFont="1" applyBorder="1" applyProtection="1">
      <protection hidden="1"/>
    </xf>
    <xf numFmtId="0" fontId="25" fillId="0" borderId="0" xfId="0" applyFont="1" applyFill="1" applyBorder="1" applyAlignment="1" applyProtection="1">
      <alignment horizontal="left"/>
      <protection hidden="1"/>
    </xf>
    <xf numFmtId="0" fontId="27" fillId="0" borderId="0" xfId="2" applyFont="1" applyFill="1" applyBorder="1" applyAlignment="1" applyProtection="1">
      <alignment horizontal="left"/>
      <protection hidden="1"/>
    </xf>
    <xf numFmtId="1" fontId="27" fillId="5" borderId="21" xfId="0" applyNumberFormat="1" applyFont="1" applyFill="1" applyBorder="1" applyAlignment="1" applyProtection="1">
      <alignment horizontal="center" vertical="center"/>
      <protection hidden="1"/>
    </xf>
    <xf numFmtId="1" fontId="36" fillId="5" borderId="21" xfId="0" applyNumberFormat="1" applyFont="1" applyFill="1" applyBorder="1" applyAlignment="1" applyProtection="1">
      <alignment horizontal="left" vertical="center"/>
      <protection hidden="1"/>
    </xf>
    <xf numFmtId="1" fontId="27" fillId="5" borderId="21" xfId="0" applyNumberFormat="1" applyFont="1" applyFill="1" applyBorder="1" applyAlignment="1" applyProtection="1">
      <alignment vertical="center"/>
      <protection hidden="1"/>
    </xf>
    <xf numFmtId="0" fontId="27" fillId="5" borderId="21" xfId="0" applyNumberFormat="1" applyFont="1" applyFill="1" applyBorder="1" applyAlignment="1" applyProtection="1">
      <alignment horizontal="left" vertical="center"/>
      <protection hidden="1"/>
    </xf>
    <xf numFmtId="0" fontId="27" fillId="5" borderId="21" xfId="0" applyNumberFormat="1" applyFont="1" applyFill="1" applyBorder="1" applyAlignment="1" applyProtection="1">
      <alignment horizontal="center" vertical="center"/>
      <protection hidden="1"/>
    </xf>
    <xf numFmtId="164" fontId="28" fillId="6" borderId="1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vertical="center"/>
      <protection hidden="1"/>
    </xf>
    <xf numFmtId="0" fontId="35" fillId="0" borderId="0" xfId="0" applyFont="1" applyBorder="1" applyAlignment="1" applyProtection="1">
      <alignment horizontal="right"/>
      <protection hidden="1"/>
    </xf>
    <xf numFmtId="0" fontId="25" fillId="0" borderId="0" xfId="0" applyFont="1" applyBorder="1" applyAlignment="1" applyProtection="1">
      <alignment horizontal="right"/>
      <protection hidden="1"/>
    </xf>
    <xf numFmtId="1" fontId="4" fillId="0" borderId="0" xfId="0" applyNumberFormat="1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65" fillId="0" borderId="0" xfId="0" applyFont="1" applyFill="1" applyBorder="1" applyProtection="1">
      <protection hidden="1"/>
    </xf>
    <xf numFmtId="0" fontId="14" fillId="18" borderId="0" xfId="0" applyFont="1" applyFill="1" applyProtection="1">
      <protection hidden="1"/>
    </xf>
    <xf numFmtId="0" fontId="14" fillId="19" borderId="0" xfId="0" applyFont="1" applyFill="1" applyProtection="1">
      <protection hidden="1"/>
    </xf>
    <xf numFmtId="0" fontId="14" fillId="19" borderId="0" xfId="0" applyFont="1" applyFill="1" applyBorder="1" applyProtection="1">
      <protection hidden="1"/>
    </xf>
    <xf numFmtId="0" fontId="0" fillId="18" borderId="0" xfId="0" applyFill="1" applyProtection="1">
      <protection hidden="1"/>
    </xf>
    <xf numFmtId="0" fontId="0" fillId="19" borderId="0" xfId="0" applyFill="1" applyProtection="1">
      <protection hidden="1"/>
    </xf>
    <xf numFmtId="0" fontId="0" fillId="19" borderId="0" xfId="0" applyFill="1" applyBorder="1" applyProtection="1">
      <protection hidden="1"/>
    </xf>
    <xf numFmtId="0" fontId="39" fillId="12" borderId="16" xfId="0" applyFont="1" applyFill="1" applyBorder="1" applyAlignment="1" applyProtection="1">
      <alignment vertical="center"/>
      <protection hidden="1"/>
    </xf>
    <xf numFmtId="1" fontId="25" fillId="0" borderId="0" xfId="0" applyNumberFormat="1" applyFont="1" applyProtection="1">
      <protection hidden="1"/>
    </xf>
    <xf numFmtId="21" fontId="28" fillId="6" borderId="1" xfId="0" applyNumberFormat="1" applyFont="1" applyFill="1" applyBorder="1" applyAlignment="1" applyProtection="1">
      <alignment horizontal="center" vertical="center"/>
      <protection hidden="1"/>
    </xf>
    <xf numFmtId="21" fontId="25" fillId="0" borderId="0" xfId="0" applyNumberFormat="1" applyFont="1" applyBorder="1" applyAlignment="1" applyProtection="1">
      <alignment vertical="center"/>
      <protection hidden="1"/>
    </xf>
    <xf numFmtId="0" fontId="64" fillId="18" borderId="0" xfId="0" applyFont="1" applyFill="1" applyBorder="1" applyProtection="1">
      <protection hidden="1"/>
    </xf>
    <xf numFmtId="0" fontId="14" fillId="18" borderId="0" xfId="0" applyFont="1" applyFill="1" applyBorder="1" applyProtection="1">
      <protection hidden="1"/>
    </xf>
    <xf numFmtId="0" fontId="12" fillId="19" borderId="0" xfId="0" applyFont="1" applyFill="1" applyBorder="1" applyProtection="1">
      <protection hidden="1"/>
    </xf>
    <xf numFmtId="1" fontId="3" fillId="19" borderId="0" xfId="0" applyNumberFormat="1" applyFont="1" applyFill="1" applyBorder="1" applyAlignment="1" applyProtection="1">
      <alignment horizontal="center"/>
      <protection hidden="1"/>
    </xf>
    <xf numFmtId="0" fontId="28" fillId="0" borderId="5" xfId="0" applyFont="1" applyFill="1" applyBorder="1" applyAlignment="1" applyProtection="1">
      <alignment horizontal="left" vertical="center"/>
      <protection hidden="1"/>
    </xf>
    <xf numFmtId="0" fontId="28" fillId="0" borderId="5" xfId="0" applyFont="1" applyFill="1" applyBorder="1" applyAlignment="1" applyProtection="1">
      <alignment horizontal="left"/>
      <protection hidden="1"/>
    </xf>
    <xf numFmtId="0" fontId="25" fillId="0" borderId="5" xfId="0" applyFont="1" applyFill="1" applyBorder="1" applyProtection="1">
      <protection hidden="1"/>
    </xf>
    <xf numFmtId="0" fontId="25" fillId="0" borderId="0" xfId="0" applyFont="1" applyBorder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67" fillId="0" borderId="0" xfId="0" applyFont="1" applyBorder="1" applyProtection="1">
      <protection hidden="1"/>
    </xf>
    <xf numFmtId="1" fontId="8" fillId="0" borderId="0" xfId="0" applyNumberFormat="1" applyFont="1" applyBorder="1" applyAlignment="1" applyProtection="1">
      <alignment vertical="top" wrapText="1"/>
      <protection hidden="1"/>
    </xf>
    <xf numFmtId="0" fontId="6" fillId="0" borderId="0" xfId="0" applyNumberFormat="1" applyFont="1" applyBorder="1" applyAlignment="1" applyProtection="1">
      <alignment horizontal="center"/>
      <protection hidden="1"/>
    </xf>
    <xf numFmtId="0" fontId="5" fillId="0" borderId="0" xfId="0" applyNumberFormat="1" applyFont="1" applyBorder="1" applyAlignment="1" applyProtection="1">
      <alignment horizontal="center"/>
      <protection hidden="1"/>
    </xf>
    <xf numFmtId="0" fontId="45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25" fillId="17" borderId="0" xfId="0" applyFont="1" applyFill="1" applyProtection="1">
      <protection hidden="1"/>
    </xf>
    <xf numFmtId="0" fontId="35" fillId="8" borderId="0" xfId="0" applyFont="1" applyFill="1" applyAlignment="1" applyProtection="1">
      <alignment horizontal="center"/>
      <protection hidden="1"/>
    </xf>
    <xf numFmtId="0" fontId="62" fillId="3" borderId="5" xfId="0" applyFont="1" applyFill="1" applyBorder="1" applyProtection="1">
      <protection hidden="1"/>
    </xf>
    <xf numFmtId="0" fontId="63" fillId="7" borderId="5" xfId="0" applyFont="1" applyFill="1" applyBorder="1" applyProtection="1">
      <protection hidden="1"/>
    </xf>
    <xf numFmtId="0" fontId="0" fillId="8" borderId="5" xfId="0" applyFill="1" applyBorder="1" applyProtection="1">
      <protection hidden="1"/>
    </xf>
    <xf numFmtId="46" fontId="28" fillId="6" borderId="1" xfId="0" applyNumberFormat="1" applyFont="1" applyFill="1" applyBorder="1" applyAlignment="1" applyProtection="1">
      <alignment horizontal="center" vertical="center"/>
      <protection hidden="1"/>
    </xf>
    <xf numFmtId="0" fontId="34" fillId="6" borderId="21" xfId="0" applyFont="1" applyFill="1" applyBorder="1" applyAlignment="1" applyProtection="1">
      <alignment horizontal="center" vertical="center"/>
      <protection hidden="1"/>
    </xf>
    <xf numFmtId="0" fontId="25" fillId="6" borderId="21" xfId="0" applyNumberFormat="1" applyFont="1" applyFill="1" applyBorder="1" applyAlignment="1" applyProtection="1">
      <alignment horizontal="center" vertical="center"/>
      <protection hidden="1"/>
    </xf>
    <xf numFmtId="21" fontId="5" fillId="6" borderId="1" xfId="0" applyNumberFormat="1" applyFont="1" applyFill="1" applyBorder="1" applyAlignment="1" applyProtection="1">
      <alignment horizontal="center" vertical="center"/>
      <protection hidden="1"/>
    </xf>
    <xf numFmtId="21" fontId="29" fillId="6" borderId="21" xfId="0" applyNumberFormat="1" applyFont="1" applyFill="1" applyBorder="1" applyAlignment="1" applyProtection="1">
      <alignment horizontal="center" vertical="center"/>
      <protection hidden="1"/>
    </xf>
    <xf numFmtId="0" fontId="34" fillId="0" borderId="21" xfId="0" applyFont="1" applyFill="1" applyBorder="1" applyAlignment="1" applyProtection="1">
      <alignment horizontal="center" vertical="center"/>
      <protection hidden="1"/>
    </xf>
    <xf numFmtId="0" fontId="25" fillId="0" borderId="21" xfId="0" applyNumberFormat="1" applyFont="1" applyFill="1" applyBorder="1" applyAlignment="1" applyProtection="1">
      <alignment horizontal="center" vertical="center"/>
      <protection hidden="1"/>
    </xf>
    <xf numFmtId="165" fontId="5" fillId="0" borderId="1" xfId="0" applyNumberFormat="1" applyFont="1" applyFill="1" applyBorder="1" applyAlignment="1" applyProtection="1">
      <alignment horizontal="center" vertical="center"/>
      <protection hidden="1"/>
    </xf>
    <xf numFmtId="21" fontId="29" fillId="0" borderId="21" xfId="0" applyNumberFormat="1" applyFont="1" applyFill="1" applyBorder="1" applyAlignment="1" applyProtection="1">
      <alignment horizontal="center" vertical="center"/>
      <protection hidden="1"/>
    </xf>
    <xf numFmtId="21" fontId="5" fillId="0" borderId="1" xfId="0" applyNumberFormat="1" applyFont="1" applyFill="1" applyBorder="1" applyAlignment="1" applyProtection="1">
      <alignment horizontal="center" vertical="center"/>
      <protection hidden="1"/>
    </xf>
    <xf numFmtId="21" fontId="4" fillId="6" borderId="1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right"/>
      <protection hidden="1"/>
    </xf>
    <xf numFmtId="0" fontId="6" fillId="0" borderId="0" xfId="0" applyNumberFormat="1" applyFont="1" applyBorder="1" applyAlignment="1" applyProtection="1">
      <alignment horizontal="left"/>
      <protection hidden="1"/>
    </xf>
    <xf numFmtId="0" fontId="28" fillId="0" borderId="0" xfId="0" applyFont="1" applyAlignment="1" applyProtection="1">
      <alignment horizontal="right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57" fillId="21" borderId="0" xfId="0" applyFont="1" applyFill="1" applyProtection="1">
      <protection hidden="1"/>
    </xf>
    <xf numFmtId="0" fontId="55" fillId="0" borderId="0" xfId="0" applyFont="1" applyProtection="1">
      <protection hidden="1"/>
    </xf>
    <xf numFmtId="0" fontId="55" fillId="0" borderId="0" xfId="0" applyFont="1" applyFill="1" applyBorder="1" applyProtection="1">
      <protection hidden="1"/>
    </xf>
    <xf numFmtId="0" fontId="52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right" vertical="center"/>
      <protection hidden="1"/>
    </xf>
    <xf numFmtId="0" fontId="17" fillId="0" borderId="0" xfId="0" applyFont="1" applyFill="1" applyBorder="1" applyAlignment="1" applyProtection="1">
      <alignment horizontal="right" vertical="center"/>
      <protection hidden="1"/>
    </xf>
    <xf numFmtId="0" fontId="18" fillId="0" borderId="0" xfId="0" applyFont="1" applyBorder="1" applyAlignment="1" applyProtection="1">
      <alignment horizontal="right" vertical="center"/>
      <protection hidden="1"/>
    </xf>
    <xf numFmtId="0" fontId="18" fillId="0" borderId="0" xfId="0" applyFont="1" applyFill="1" applyBorder="1" applyAlignment="1" applyProtection="1">
      <alignment horizontal="right" vertical="center"/>
      <protection hidden="1"/>
    </xf>
    <xf numFmtId="0" fontId="43" fillId="0" borderId="0" xfId="0" applyFont="1" applyFill="1" applyBorder="1" applyAlignment="1" applyProtection="1">
      <alignment horizontal="center" vertical="center"/>
      <protection hidden="1"/>
    </xf>
    <xf numFmtId="0" fontId="43" fillId="0" borderId="0" xfId="0" applyFont="1" applyBorder="1" applyAlignment="1" applyProtection="1">
      <alignment horizontal="center" vertical="center"/>
      <protection hidden="1"/>
    </xf>
    <xf numFmtId="0" fontId="19" fillId="4" borderId="3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20" fillId="4" borderId="4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57" fillId="0" borderId="0" xfId="0" applyFont="1" applyProtection="1">
      <protection hidden="1"/>
    </xf>
    <xf numFmtId="0" fontId="7" fillId="0" borderId="0" xfId="0" applyFont="1" applyFill="1" applyProtection="1"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textRotation="90" wrapText="1"/>
      <protection hidden="1"/>
    </xf>
    <xf numFmtId="0" fontId="22" fillId="13" borderId="22" xfId="0" applyFont="1" applyFill="1" applyBorder="1" applyAlignment="1" applyProtection="1">
      <alignment horizontal="center" vertical="center"/>
      <protection hidden="1"/>
    </xf>
    <xf numFmtId="0" fontId="23" fillId="13" borderId="22" xfId="0" applyFont="1" applyFill="1" applyBorder="1" applyAlignment="1" applyProtection="1">
      <alignment vertical="center"/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0" fontId="57" fillId="0" borderId="0" xfId="0" applyFont="1" applyAlignment="1" applyProtection="1">
      <alignment horizontal="left" vertical="top"/>
      <protection hidden="1"/>
    </xf>
    <xf numFmtId="0" fontId="8" fillId="13" borderId="21" xfId="0" applyNumberFormat="1" applyFont="1" applyFill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55" fillId="20" borderId="0" xfId="0" applyFont="1" applyFill="1" applyProtection="1">
      <protection hidden="1"/>
    </xf>
    <xf numFmtId="0" fontId="55" fillId="0" borderId="1" xfId="0" applyFont="1" applyFill="1" applyBorder="1" applyAlignment="1" applyProtection="1">
      <alignment horizontal="center"/>
      <protection hidden="1"/>
    </xf>
    <xf numFmtId="0" fontId="58" fillId="0" borderId="20" xfId="0" applyFont="1" applyBorder="1" applyAlignment="1" applyProtection="1">
      <alignment horizontal="center" vertical="center"/>
      <protection hidden="1"/>
    </xf>
    <xf numFmtId="0" fontId="36" fillId="0" borderId="0" xfId="0" applyFont="1" applyFill="1" applyBorder="1" applyAlignment="1" applyProtection="1">
      <alignment horizontal="left"/>
      <protection hidden="1"/>
    </xf>
    <xf numFmtId="0" fontId="55" fillId="0" borderId="21" xfId="0" applyFont="1" applyFill="1" applyBorder="1" applyAlignment="1" applyProtection="1">
      <alignment horizontal="center"/>
      <protection hidden="1"/>
    </xf>
    <xf numFmtId="1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Border="1" applyAlignment="1" applyProtection="1">
      <alignment horizontal="center"/>
      <protection hidden="1"/>
    </xf>
    <xf numFmtId="0" fontId="55" fillId="0" borderId="0" xfId="0" applyFont="1" applyFill="1" applyProtection="1">
      <protection hidden="1"/>
    </xf>
    <xf numFmtId="0" fontId="25" fillId="0" borderId="0" xfId="0" applyFont="1" applyFill="1" applyProtection="1">
      <protection hidden="1"/>
    </xf>
    <xf numFmtId="0" fontId="27" fillId="0" borderId="0" xfId="0" applyFont="1" applyFill="1" applyBorder="1" applyProtection="1">
      <protection hidden="1"/>
    </xf>
    <xf numFmtId="0" fontId="44" fillId="13" borderId="21" xfId="0" applyNumberFormat="1" applyFont="1" applyFill="1" applyBorder="1" applyAlignment="1" applyProtection="1">
      <alignment horizontal="center" vertical="center"/>
      <protection hidden="1"/>
    </xf>
    <xf numFmtId="0" fontId="44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22" fillId="14" borderId="22" xfId="0" applyFont="1" applyFill="1" applyBorder="1" applyAlignment="1" applyProtection="1">
      <alignment horizontal="center" vertical="center"/>
      <protection hidden="1"/>
    </xf>
    <xf numFmtId="0" fontId="22" fillId="15" borderId="20" xfId="0" applyNumberFormat="1" applyFont="1" applyFill="1" applyBorder="1" applyAlignment="1" applyProtection="1">
      <alignment horizontal="center" vertical="center"/>
      <protection hidden="1"/>
    </xf>
    <xf numFmtId="1" fontId="3" fillId="0" borderId="21" xfId="0" applyNumberFormat="1" applyFont="1" applyBorder="1" applyAlignment="1" applyProtection="1">
      <alignment horizontal="center"/>
      <protection hidden="1"/>
    </xf>
    <xf numFmtId="0" fontId="22" fillId="15" borderId="0" xfId="0" applyFont="1" applyFill="1" applyBorder="1" applyAlignment="1" applyProtection="1">
      <alignment horizontal="left" vertical="center"/>
      <protection hidden="1"/>
    </xf>
    <xf numFmtId="0" fontId="22" fillId="15" borderId="0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left" vertical="center"/>
      <protection hidden="1"/>
    </xf>
    <xf numFmtId="0" fontId="22" fillId="0" borderId="0" xfId="0" applyFont="1" applyFill="1" applyBorder="1" applyAlignment="1" applyProtection="1">
      <alignment horizontal="center" vertical="center"/>
      <protection hidden="1"/>
    </xf>
    <xf numFmtId="0" fontId="24" fillId="6" borderId="0" xfId="0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Border="1" applyAlignment="1" applyProtection="1">
      <alignment horizontal="left" vertical="center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NumberFormat="1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Alignment="1" applyProtection="1">
      <alignment vertical="center"/>
      <protection hidden="1"/>
    </xf>
    <xf numFmtId="0" fontId="32" fillId="10" borderId="3" xfId="0" applyFont="1" applyFill="1" applyBorder="1" applyAlignment="1" applyProtection="1">
      <alignment horizontal="center" vertical="center"/>
      <protection hidden="1"/>
    </xf>
    <xf numFmtId="0" fontId="33" fillId="10" borderId="4" xfId="0" applyFont="1" applyFill="1" applyBorder="1" applyAlignment="1" applyProtection="1">
      <alignment horizontal="center" vertical="center"/>
      <protection hidden="1"/>
    </xf>
    <xf numFmtId="1" fontId="7" fillId="5" borderId="21" xfId="0" applyNumberFormat="1" applyFont="1" applyFill="1" applyBorder="1" applyAlignment="1" applyProtection="1">
      <alignment horizontal="center" vertical="center"/>
      <protection hidden="1"/>
    </xf>
    <xf numFmtId="21" fontId="26" fillId="10" borderId="21" xfId="0" applyNumberFormat="1" applyFont="1" applyFill="1" applyBorder="1" applyAlignment="1" applyProtection="1">
      <alignment horizontal="center" vertical="center"/>
      <protection hidden="1"/>
    </xf>
    <xf numFmtId="0" fontId="68" fillId="5" borderId="21" xfId="0" applyNumberFormat="1" applyFont="1" applyFill="1" applyBorder="1" applyAlignment="1" applyProtection="1">
      <alignment horizontal="center" vertical="center"/>
      <protection hidden="1"/>
    </xf>
    <xf numFmtId="21" fontId="69" fillId="5" borderId="21" xfId="0" applyNumberFormat="1" applyFont="1" applyFill="1" applyBorder="1" applyAlignment="1" applyProtection="1">
      <alignment horizontal="center" vertical="center"/>
      <protection hidden="1"/>
    </xf>
    <xf numFmtId="1" fontId="68" fillId="5" borderId="21" xfId="0" applyNumberFormat="1" applyFont="1" applyFill="1" applyBorder="1" applyAlignment="1" applyProtection="1">
      <alignment horizontal="center" vertical="center"/>
      <protection hidden="1"/>
    </xf>
    <xf numFmtId="1" fontId="70" fillId="5" borderId="21" xfId="0" applyNumberFormat="1" applyFont="1" applyFill="1" applyBorder="1" applyAlignment="1" applyProtection="1">
      <alignment horizontal="center" vertical="center"/>
      <protection hidden="1"/>
    </xf>
    <xf numFmtId="1" fontId="66" fillId="10" borderId="21" xfId="0" applyNumberFormat="1" applyFont="1" applyFill="1" applyBorder="1" applyAlignment="1" applyProtection="1">
      <alignment horizontal="center" vertical="center"/>
      <protection hidden="1"/>
    </xf>
    <xf numFmtId="1" fontId="70" fillId="10" borderId="0" xfId="0" applyNumberFormat="1" applyFont="1" applyFill="1" applyBorder="1" applyAlignment="1" applyProtection="1">
      <alignment horizontal="center" vertical="center"/>
      <protection hidden="1"/>
    </xf>
    <xf numFmtId="46" fontId="71" fillId="6" borderId="1" xfId="0" applyNumberFormat="1" applyFont="1" applyFill="1" applyBorder="1" applyAlignment="1" applyProtection="1">
      <alignment horizontal="center" vertical="center"/>
      <protection hidden="1"/>
    </xf>
    <xf numFmtId="0" fontId="41" fillId="3" borderId="0" xfId="0" applyFont="1" applyFill="1" applyBorder="1" applyAlignment="1" applyProtection="1">
      <alignment horizontal="center" vertical="center"/>
      <protection hidden="1"/>
    </xf>
    <xf numFmtId="0" fontId="80" fillId="23" borderId="0" xfId="0" applyFont="1" applyFill="1" applyAlignment="1" applyProtection="1">
      <alignment horizontal="center" vertical="center"/>
      <protection hidden="1"/>
    </xf>
    <xf numFmtId="0" fontId="81" fillId="0" borderId="0" xfId="0" applyFont="1" applyProtection="1">
      <protection hidden="1"/>
    </xf>
    <xf numFmtId="0" fontId="32" fillId="4" borderId="0" xfId="0" applyFont="1" applyFill="1" applyBorder="1" applyAlignment="1" applyProtection="1">
      <alignment horizontal="center" vertical="center"/>
      <protection hidden="1"/>
    </xf>
    <xf numFmtId="0" fontId="32" fillId="4" borderId="4" xfId="0" applyFont="1" applyFill="1" applyBorder="1" applyAlignment="1" applyProtection="1">
      <alignment vertical="center"/>
      <protection hidden="1"/>
    </xf>
    <xf numFmtId="0" fontId="7" fillId="0" borderId="35" xfId="0" applyFont="1" applyBorder="1" applyProtection="1">
      <protection hidden="1"/>
    </xf>
    <xf numFmtId="0" fontId="7" fillId="0" borderId="36" xfId="0" applyFont="1" applyBorder="1" applyProtection="1">
      <protection hidden="1"/>
    </xf>
    <xf numFmtId="0" fontId="7" fillId="0" borderId="37" xfId="0" applyFont="1" applyBorder="1" applyProtection="1">
      <protection hidden="1"/>
    </xf>
    <xf numFmtId="0" fontId="7" fillId="0" borderId="38" xfId="0" applyFont="1" applyBorder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7" fillId="0" borderId="39" xfId="0" applyFont="1" applyBorder="1" applyProtection="1">
      <protection hidden="1"/>
    </xf>
    <xf numFmtId="1" fontId="82" fillId="5" borderId="40" xfId="0" applyNumberFormat="1" applyFont="1" applyFill="1" applyBorder="1" applyAlignment="1" applyProtection="1">
      <alignment horizontal="center" vertical="center"/>
      <protection hidden="1"/>
    </xf>
    <xf numFmtId="0" fontId="83" fillId="5" borderId="21" xfId="0" applyNumberFormat="1" applyFont="1" applyFill="1" applyBorder="1" applyAlignment="1" applyProtection="1">
      <alignment horizontal="center" vertical="center"/>
      <protection hidden="1"/>
    </xf>
    <xf numFmtId="0" fontId="7" fillId="0" borderId="41" xfId="0" applyFont="1" applyBorder="1" applyProtection="1">
      <protection hidden="1"/>
    </xf>
    <xf numFmtId="0" fontId="85" fillId="0" borderId="41" xfId="0" applyFont="1" applyBorder="1" applyProtection="1">
      <protection hidden="1"/>
    </xf>
    <xf numFmtId="0" fontId="85" fillId="0" borderId="0" xfId="0" applyFont="1" applyProtection="1">
      <protection hidden="1"/>
    </xf>
    <xf numFmtId="0" fontId="85" fillId="0" borderId="39" xfId="0" applyFont="1" applyBorder="1" applyProtection="1">
      <protection hidden="1"/>
    </xf>
    <xf numFmtId="166" fontId="83" fillId="5" borderId="21" xfId="0" applyNumberFormat="1" applyFont="1" applyFill="1" applyBorder="1" applyAlignment="1" applyProtection="1">
      <alignment horizontal="center" vertical="center"/>
      <protection hidden="1"/>
    </xf>
    <xf numFmtId="166" fontId="86" fillId="5" borderId="21" xfId="0" applyNumberFormat="1" applyFont="1" applyFill="1" applyBorder="1" applyAlignment="1" applyProtection="1">
      <alignment horizontal="center" vertical="center"/>
      <protection hidden="1"/>
    </xf>
    <xf numFmtId="0" fontId="7" fillId="0" borderId="42" xfId="0" applyFont="1" applyBorder="1" applyProtection="1">
      <protection hidden="1"/>
    </xf>
    <xf numFmtId="0" fontId="7" fillId="0" borderId="43" xfId="0" applyFont="1" applyBorder="1" applyProtection="1">
      <protection hidden="1"/>
    </xf>
    <xf numFmtId="0" fontId="7" fillId="0" borderId="44" xfId="0" applyFont="1" applyBorder="1" applyProtection="1">
      <protection hidden="1"/>
    </xf>
    <xf numFmtId="0" fontId="7" fillId="0" borderId="45" xfId="0" applyFont="1" applyBorder="1" applyProtection="1">
      <protection hidden="1"/>
    </xf>
    <xf numFmtId="0" fontId="43" fillId="0" borderId="0" xfId="0" applyFont="1" applyBorder="1" applyAlignment="1" applyProtection="1">
      <alignment horizontal="center" vertical="center"/>
      <protection hidden="1"/>
    </xf>
    <xf numFmtId="0" fontId="19" fillId="4" borderId="3" xfId="0" applyFont="1" applyFill="1" applyBorder="1" applyAlignment="1" applyProtection="1">
      <alignment horizontal="center" vertical="center"/>
      <protection hidden="1"/>
    </xf>
    <xf numFmtId="0" fontId="20" fillId="4" borderId="4" xfId="0" applyFont="1" applyFill="1" applyBorder="1" applyAlignment="1" applyProtection="1">
      <alignment horizontal="center" vertical="center"/>
      <protection hidden="1"/>
    </xf>
    <xf numFmtId="0" fontId="13" fillId="12" borderId="15" xfId="0" applyFont="1" applyFill="1" applyBorder="1" applyAlignment="1" applyProtection="1">
      <alignment horizontal="center" vertical="center"/>
      <protection hidden="1"/>
    </xf>
    <xf numFmtId="0" fontId="24" fillId="6" borderId="0" xfId="0" applyFont="1" applyFill="1" applyBorder="1" applyAlignment="1" applyProtection="1">
      <alignment horizontal="center" vertical="center"/>
      <protection hidden="1"/>
    </xf>
    <xf numFmtId="0" fontId="17" fillId="0" borderId="20" xfId="0" applyFont="1" applyBorder="1" applyAlignment="1">
      <alignment horizontal="center" vertical="center"/>
    </xf>
    <xf numFmtId="0" fontId="17" fillId="16" borderId="20" xfId="0" applyFont="1" applyFill="1" applyBorder="1" applyAlignment="1">
      <alignment horizontal="center" vertical="center"/>
    </xf>
    <xf numFmtId="0" fontId="13" fillId="12" borderId="15" xfId="0" applyFont="1" applyFill="1" applyBorder="1" applyAlignment="1">
      <alignment horizontal="center" vertical="center"/>
    </xf>
    <xf numFmtId="0" fontId="23" fillId="14" borderId="22" xfId="0" applyFont="1" applyFill="1" applyBorder="1" applyAlignment="1">
      <alignment vertical="center"/>
    </xf>
    <xf numFmtId="0" fontId="17" fillId="0" borderId="20" xfId="0" applyFont="1" applyFill="1" applyBorder="1" applyAlignment="1">
      <alignment horizontal="center" vertical="center"/>
    </xf>
    <xf numFmtId="0" fontId="36" fillId="9" borderId="0" xfId="0" applyFont="1" applyFill="1" applyAlignment="1">
      <alignment horizontal="center"/>
    </xf>
    <xf numFmtId="0" fontId="36" fillId="11" borderId="0" xfId="0" applyFont="1" applyFill="1" applyAlignment="1">
      <alignment horizontal="center"/>
    </xf>
    <xf numFmtId="0" fontId="36" fillId="3" borderId="0" xfId="0" applyFont="1" applyFill="1" applyAlignment="1">
      <alignment horizontal="center"/>
    </xf>
    <xf numFmtId="21" fontId="29" fillId="5" borderId="21" xfId="0" applyNumberFormat="1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0" applyFont="1" applyBorder="1" applyAlignment="1">
      <alignment horizontal="center" vertical="center"/>
    </xf>
    <xf numFmtId="0" fontId="32" fillId="4" borderId="3" xfId="0" applyFont="1" applyFill="1" applyBorder="1" applyAlignment="1" applyProtection="1">
      <alignment horizontal="center" vertical="center"/>
      <protection hidden="1"/>
    </xf>
    <xf numFmtId="0" fontId="32" fillId="4" borderId="3" xfId="0" applyFont="1" applyFill="1" applyBorder="1" applyAlignment="1" applyProtection="1">
      <alignment horizontal="center" vertical="center"/>
      <protection hidden="1"/>
    </xf>
    <xf numFmtId="21" fontId="68" fillId="5" borderId="21" xfId="0" applyNumberFormat="1" applyFont="1" applyFill="1" applyBorder="1" applyAlignment="1" applyProtection="1">
      <alignment horizontal="left" vertical="center" wrapText="1"/>
      <protection hidden="1"/>
    </xf>
    <xf numFmtId="0" fontId="0" fillId="22" borderId="48" xfId="0" applyFill="1" applyBorder="1" applyProtection="1">
      <protection hidden="1"/>
    </xf>
    <xf numFmtId="0" fontId="68" fillId="22" borderId="48" xfId="0" applyNumberFormat="1" applyFont="1" applyFill="1" applyBorder="1" applyAlignment="1" applyProtection="1">
      <alignment horizontal="center" vertical="center"/>
      <protection hidden="1"/>
    </xf>
    <xf numFmtId="21" fontId="69" fillId="22" borderId="48" xfId="0" applyNumberFormat="1" applyFont="1" applyFill="1" applyBorder="1" applyAlignment="1" applyProtection="1">
      <alignment horizontal="center" vertical="center"/>
      <protection hidden="1"/>
    </xf>
    <xf numFmtId="1" fontId="68" fillId="22" borderId="48" xfId="0" applyNumberFormat="1" applyFont="1" applyFill="1" applyBorder="1" applyAlignment="1" applyProtection="1">
      <alignment horizontal="center" vertical="center"/>
      <protection hidden="1"/>
    </xf>
    <xf numFmtId="1" fontId="70" fillId="22" borderId="48" xfId="0" applyNumberFormat="1" applyFont="1" applyFill="1" applyBorder="1" applyAlignment="1" applyProtection="1">
      <alignment horizontal="center" vertical="center"/>
      <protection hidden="1"/>
    </xf>
    <xf numFmtId="0" fontId="1" fillId="0" borderId="0" xfId="1"/>
    <xf numFmtId="0" fontId="73" fillId="0" borderId="0" xfId="1" applyFont="1"/>
    <xf numFmtId="0" fontId="90" fillId="0" borderId="0" xfId="1" applyFont="1" applyAlignment="1">
      <alignment horizontal="center"/>
    </xf>
    <xf numFmtId="0" fontId="91" fillId="0" borderId="0" xfId="1" applyFont="1" applyBorder="1" applyAlignment="1">
      <alignment horizontal="right" vertical="center"/>
    </xf>
    <xf numFmtId="0" fontId="91" fillId="0" borderId="0" xfId="1" applyFont="1" applyBorder="1" applyAlignment="1">
      <alignment horizontal="left" vertical="center"/>
    </xf>
    <xf numFmtId="0" fontId="93" fillId="0" borderId="0" xfId="1" applyFont="1" applyFill="1" applyBorder="1" applyAlignment="1">
      <alignment vertical="center"/>
    </xf>
    <xf numFmtId="0" fontId="94" fillId="3" borderId="3" xfId="1" applyFont="1" applyFill="1" applyBorder="1" applyAlignment="1">
      <alignment horizontal="center" vertical="center"/>
    </xf>
    <xf numFmtId="0" fontId="94" fillId="0" borderId="0" xfId="1" applyFont="1" applyFill="1" applyBorder="1" applyAlignment="1">
      <alignment horizontal="center" vertical="center"/>
    </xf>
    <xf numFmtId="0" fontId="95" fillId="0" borderId="0" xfId="1" applyFont="1" applyFill="1" applyBorder="1" applyAlignment="1">
      <alignment vertical="center"/>
    </xf>
    <xf numFmtId="0" fontId="95" fillId="0" borderId="0" xfId="1" applyFont="1" applyFill="1" applyBorder="1" applyAlignment="1">
      <alignment horizontal="center" vertical="center"/>
    </xf>
    <xf numFmtId="0" fontId="68" fillId="3" borderId="4" xfId="1" applyFont="1" applyFill="1" applyBorder="1" applyAlignment="1">
      <alignment horizontal="center" vertical="center"/>
    </xf>
    <xf numFmtId="0" fontId="68" fillId="0" borderId="0" xfId="1" applyFont="1" applyFill="1" applyBorder="1" applyAlignment="1">
      <alignment horizontal="center" vertical="center"/>
    </xf>
    <xf numFmtId="1" fontId="73" fillId="0" borderId="0" xfId="1" applyNumberFormat="1" applyFont="1" applyFill="1" applyAlignment="1">
      <alignment horizontal="center"/>
    </xf>
    <xf numFmtId="0" fontId="1" fillId="0" borderId="1" xfId="1" applyBorder="1" applyAlignment="1">
      <alignment horizontal="right"/>
    </xf>
    <xf numFmtId="0" fontId="73" fillId="0" borderId="0" xfId="1" applyFont="1" applyAlignment="1">
      <alignment horizontal="center"/>
    </xf>
    <xf numFmtId="1" fontId="96" fillId="0" borderId="0" xfId="1" applyNumberFormat="1" applyFont="1" applyFill="1" applyBorder="1" applyAlignment="1">
      <alignment horizontal="center"/>
    </xf>
    <xf numFmtId="1" fontId="3" fillId="0" borderId="0" xfId="3" applyNumberFormat="1" applyFont="1" applyFill="1" applyBorder="1" applyAlignment="1">
      <alignment horizontal="center"/>
    </xf>
    <xf numFmtId="1" fontId="97" fillId="0" borderId="0" xfId="1" applyNumberFormat="1" applyFont="1" applyFill="1" applyBorder="1" applyAlignment="1">
      <alignment horizontal="center"/>
    </xf>
    <xf numFmtId="1" fontId="97" fillId="0" borderId="0" xfId="1" applyNumberFormat="1" applyFont="1" applyFill="1" applyBorder="1" applyAlignment="1">
      <alignment vertical="center"/>
    </xf>
    <xf numFmtId="0" fontId="95" fillId="3" borderId="0" xfId="1" applyFont="1" applyFill="1" applyBorder="1" applyAlignment="1">
      <alignment horizontal="center" vertical="center"/>
    </xf>
    <xf numFmtId="1" fontId="3" fillId="0" borderId="1" xfId="3" applyNumberFormat="1" applyFont="1" applyBorder="1" applyAlignment="1">
      <alignment horizontal="right"/>
    </xf>
    <xf numFmtId="0" fontId="67" fillId="0" borderId="0" xfId="1" applyFont="1"/>
    <xf numFmtId="0" fontId="68" fillId="3" borderId="0" xfId="1" applyFont="1" applyFill="1" applyBorder="1" applyAlignment="1">
      <alignment horizontal="center" vertical="center"/>
    </xf>
    <xf numFmtId="0" fontId="95" fillId="3" borderId="20" xfId="1" applyFont="1" applyFill="1" applyBorder="1" applyAlignment="1">
      <alignment horizontal="center" vertical="center"/>
    </xf>
    <xf numFmtId="1" fontId="96" fillId="0" borderId="49" xfId="1" applyNumberFormat="1" applyFont="1" applyFill="1" applyBorder="1" applyAlignment="1">
      <alignment horizontal="center"/>
    </xf>
    <xf numFmtId="1" fontId="3" fillId="0" borderId="21" xfId="3" applyNumberFormat="1" applyFont="1" applyBorder="1" applyAlignment="1">
      <alignment horizontal="center"/>
    </xf>
    <xf numFmtId="1" fontId="97" fillId="0" borderId="49" xfId="1" applyNumberFormat="1" applyFont="1" applyFill="1" applyBorder="1" applyAlignment="1">
      <alignment horizontal="center"/>
    </xf>
    <xf numFmtId="0" fontId="73" fillId="0" borderId="21" xfId="3" applyNumberFormat="1" applyFont="1" applyFill="1" applyBorder="1" applyAlignment="1">
      <alignment horizontal="center"/>
    </xf>
    <xf numFmtId="0" fontId="93" fillId="0" borderId="0" xfId="1" applyFont="1" applyFill="1" applyBorder="1" applyAlignment="1">
      <alignment horizontal="center" vertical="center"/>
    </xf>
    <xf numFmtId="1" fontId="97" fillId="0" borderId="0" xfId="1" applyNumberFormat="1" applyFont="1" applyFill="1" applyBorder="1" applyAlignment="1">
      <alignment horizontal="center" vertical="center"/>
    </xf>
    <xf numFmtId="1" fontId="1" fillId="0" borderId="0" xfId="1" applyNumberFormat="1" applyFill="1" applyAlignment="1">
      <alignment horizontal="center"/>
    </xf>
    <xf numFmtId="1" fontId="97" fillId="0" borderId="20" xfId="1" applyNumberFormat="1" applyFont="1" applyBorder="1" applyAlignment="1">
      <alignment horizontal="center"/>
    </xf>
    <xf numFmtId="1" fontId="73" fillId="0" borderId="0" xfId="1" applyNumberFormat="1" applyFont="1" applyAlignment="1">
      <alignment horizontal="center"/>
    </xf>
    <xf numFmtId="1" fontId="1" fillId="0" borderId="0" xfId="1" applyNumberFormat="1" applyAlignment="1">
      <alignment horizontal="center"/>
    </xf>
    <xf numFmtId="1" fontId="73" fillId="0" borderId="0" xfId="1" applyNumberFormat="1" applyFont="1"/>
    <xf numFmtId="0" fontId="100" fillId="26" borderId="0" xfId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91" fillId="2" borderId="0" xfId="1" applyFont="1" applyFill="1" applyBorder="1" applyAlignment="1">
      <alignment horizontal="left" vertical="center"/>
    </xf>
    <xf numFmtId="0" fontId="1" fillId="0" borderId="0" xfId="3"/>
    <xf numFmtId="1" fontId="3" fillId="0" borderId="0" xfId="3" applyNumberFormat="1" applyFont="1" applyBorder="1" applyAlignment="1">
      <alignment horizontal="right"/>
    </xf>
    <xf numFmtId="0" fontId="1" fillId="0" borderId="0" xfId="1" applyAlignment="1">
      <alignment horizontal="right"/>
    </xf>
    <xf numFmtId="0" fontId="64" fillId="24" borderId="0" xfId="0" applyFont="1" applyFill="1" applyBorder="1" applyProtection="1">
      <protection hidden="1"/>
    </xf>
    <xf numFmtId="0" fontId="36" fillId="0" borderId="5" xfId="0" applyFont="1" applyFill="1" applyBorder="1" applyAlignment="1" applyProtection="1">
      <alignment horizontal="left" vertical="center"/>
      <protection hidden="1"/>
    </xf>
    <xf numFmtId="0" fontId="42" fillId="6" borderId="0" xfId="0" applyFont="1" applyFill="1" applyBorder="1" applyAlignment="1" applyProtection="1">
      <alignment horizontal="center" vertical="center"/>
      <protection hidden="1"/>
    </xf>
    <xf numFmtId="0" fontId="50" fillId="0" borderId="0" xfId="0" applyFont="1" applyBorder="1" applyAlignment="1" applyProtection="1">
      <alignment horizontal="center" vertical="center"/>
      <protection hidden="1"/>
    </xf>
    <xf numFmtId="0" fontId="47" fillId="0" borderId="0" xfId="0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51" fillId="0" borderId="0" xfId="0" applyFont="1" applyProtection="1">
      <protection hidden="1"/>
    </xf>
    <xf numFmtId="0" fontId="39" fillId="12" borderId="16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74" fillId="0" borderId="34" xfId="0" applyFont="1" applyBorder="1" applyAlignment="1" applyProtection="1">
      <alignment horizontal="center" vertical="center"/>
      <protection hidden="1"/>
    </xf>
    <xf numFmtId="0" fontId="46" fillId="0" borderId="0" xfId="0" applyFont="1" applyBorder="1" applyAlignment="1" applyProtection="1">
      <alignment horizontal="center" vertical="center"/>
      <protection hidden="1"/>
    </xf>
    <xf numFmtId="0" fontId="49" fillId="0" borderId="0" xfId="0" applyFont="1" applyBorder="1" applyAlignment="1" applyProtection="1">
      <alignment horizontal="center" vertical="center"/>
      <protection hidden="1"/>
    </xf>
    <xf numFmtId="0" fontId="36" fillId="0" borderId="23" xfId="0" applyNumberFormat="1" applyFont="1" applyFill="1" applyBorder="1" applyAlignment="1" applyProtection="1">
      <alignment horizontal="center" vertical="center" textRotation="90"/>
      <protection hidden="1"/>
    </xf>
    <xf numFmtId="0" fontId="36" fillId="0" borderId="0" xfId="0" applyNumberFormat="1" applyFont="1" applyFill="1" applyBorder="1" applyAlignment="1" applyProtection="1">
      <alignment horizontal="center" vertical="center" textRotation="90"/>
      <protection hidden="1"/>
    </xf>
    <xf numFmtId="0" fontId="35" fillId="7" borderId="0" xfId="0" applyFont="1" applyFill="1" applyBorder="1" applyAlignment="1" applyProtection="1">
      <alignment horizontal="center"/>
      <protection hidden="1"/>
    </xf>
    <xf numFmtId="0" fontId="35" fillId="3" borderId="0" xfId="0" applyFont="1" applyFill="1" applyBorder="1" applyAlignment="1" applyProtection="1">
      <alignment horizontal="center"/>
      <protection hidden="1"/>
    </xf>
    <xf numFmtId="0" fontId="24" fillId="6" borderId="0" xfId="0" applyFont="1" applyFill="1" applyBorder="1" applyAlignment="1" applyProtection="1">
      <alignment horizontal="center" vertical="center"/>
      <protection hidden="1"/>
    </xf>
    <xf numFmtId="0" fontId="21" fillId="0" borderId="19" xfId="0" applyFont="1" applyFill="1" applyBorder="1" applyAlignment="1">
      <alignment horizontal="center" vertical="center" textRotation="90" wrapText="1"/>
    </xf>
    <xf numFmtId="0" fontId="21" fillId="0" borderId="27" xfId="0" applyFont="1" applyFill="1" applyBorder="1" applyAlignment="1">
      <alignment horizontal="center" vertical="center" textRotation="90" wrapText="1"/>
    </xf>
    <xf numFmtId="0" fontId="21" fillId="0" borderId="17" xfId="0" applyFont="1" applyFill="1" applyBorder="1" applyAlignment="1">
      <alignment horizontal="center" vertical="center" textRotation="90" wrapText="1"/>
    </xf>
    <xf numFmtId="0" fontId="21" fillId="0" borderId="25" xfId="0" applyFont="1" applyFill="1" applyBorder="1" applyAlignment="1">
      <alignment horizontal="center" vertical="center" textRotation="90" wrapText="1"/>
    </xf>
    <xf numFmtId="0" fontId="22" fillId="14" borderId="22" xfId="0" applyFont="1" applyFill="1" applyBorder="1" applyAlignment="1" applyProtection="1">
      <alignment horizontal="left" vertical="center"/>
      <protection hidden="1"/>
    </xf>
    <xf numFmtId="0" fontId="7" fillId="14" borderId="22" xfId="0" applyFont="1" applyFill="1" applyBorder="1" applyProtection="1">
      <protection hidden="1"/>
    </xf>
    <xf numFmtId="0" fontId="21" fillId="0" borderId="30" xfId="0" applyFont="1" applyFill="1" applyBorder="1" applyAlignment="1">
      <alignment horizontal="center" vertical="center" textRotation="90" wrapText="1"/>
    </xf>
    <xf numFmtId="0" fontId="21" fillId="0" borderId="33" xfId="0" applyFont="1" applyFill="1" applyBorder="1" applyAlignment="1">
      <alignment horizontal="center" vertical="center" textRotation="90" wrapText="1"/>
    </xf>
    <xf numFmtId="0" fontId="21" fillId="0" borderId="18" xfId="0" applyFont="1" applyFill="1" applyBorder="1" applyAlignment="1">
      <alignment horizontal="center" vertical="center" textRotation="90" wrapText="1"/>
    </xf>
    <xf numFmtId="0" fontId="21" fillId="0" borderId="26" xfId="0" applyFont="1" applyFill="1" applyBorder="1" applyAlignment="1">
      <alignment horizontal="center" vertical="center" textRotation="90" wrapText="1"/>
    </xf>
    <xf numFmtId="0" fontId="21" fillId="0" borderId="29" xfId="0" applyFont="1" applyFill="1" applyBorder="1" applyAlignment="1">
      <alignment horizontal="center" vertical="center" textRotation="90" wrapText="1"/>
    </xf>
    <xf numFmtId="0" fontId="21" fillId="0" borderId="32" xfId="0" applyFont="1" applyFill="1" applyBorder="1" applyAlignment="1">
      <alignment horizontal="center" vertical="center" textRotation="90" wrapText="1"/>
    </xf>
    <xf numFmtId="0" fontId="13" fillId="12" borderId="15" xfId="0" applyFont="1" applyFill="1" applyBorder="1" applyAlignment="1" applyProtection="1">
      <alignment horizontal="center" vertical="center"/>
      <protection hidden="1"/>
    </xf>
    <xf numFmtId="0" fontId="21" fillId="0" borderId="46" xfId="0" applyFont="1" applyFill="1" applyBorder="1" applyAlignment="1">
      <alignment horizontal="center" vertical="center" textRotation="90" wrapText="1"/>
    </xf>
    <xf numFmtId="0" fontId="21" fillId="0" borderId="47" xfId="0" applyFont="1" applyFill="1" applyBorder="1" applyAlignment="1">
      <alignment horizontal="center" vertical="center" textRotation="90" wrapText="1"/>
    </xf>
    <xf numFmtId="0" fontId="21" fillId="0" borderId="28" xfId="0" applyFont="1" applyFill="1" applyBorder="1" applyAlignment="1">
      <alignment horizontal="center" vertical="center" textRotation="90" wrapText="1"/>
    </xf>
    <xf numFmtId="0" fontId="21" fillId="0" borderId="31" xfId="0" applyFont="1" applyFill="1" applyBorder="1" applyAlignment="1">
      <alignment horizontal="center" vertical="center" textRotation="90" wrapText="1"/>
    </xf>
    <xf numFmtId="0" fontId="22" fillId="13" borderId="22" xfId="0" applyFont="1" applyFill="1" applyBorder="1" applyAlignment="1" applyProtection="1">
      <alignment horizontal="left" vertical="center"/>
      <protection hidden="1"/>
    </xf>
    <xf numFmtId="0" fontId="7" fillId="13" borderId="22" xfId="0" applyFont="1" applyFill="1" applyBorder="1" applyProtection="1"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52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43" fillId="0" borderId="0" xfId="0" applyFont="1" applyBorder="1" applyAlignment="1" applyProtection="1">
      <alignment horizontal="center" vertical="center"/>
      <protection hidden="1"/>
    </xf>
    <xf numFmtId="0" fontId="19" fillId="4" borderId="3" xfId="0" applyFont="1" applyFill="1" applyBorder="1" applyAlignment="1" applyProtection="1">
      <alignment horizontal="center" vertical="center"/>
      <protection hidden="1"/>
    </xf>
    <xf numFmtId="0" fontId="20" fillId="4" borderId="4" xfId="0" applyFont="1" applyFill="1" applyBorder="1" applyAlignment="1" applyProtection="1">
      <alignment horizontal="center" vertical="center"/>
      <protection hidden="1"/>
    </xf>
    <xf numFmtId="0" fontId="32" fillId="4" borderId="3" xfId="0" applyFont="1" applyFill="1" applyBorder="1" applyAlignment="1" applyProtection="1">
      <alignment horizontal="center" vertical="center"/>
      <protection hidden="1"/>
    </xf>
    <xf numFmtId="0" fontId="53" fillId="12" borderId="16" xfId="0" applyFont="1" applyFill="1" applyBorder="1" applyAlignment="1" applyProtection="1">
      <alignment horizontal="center" vertical="center"/>
      <protection hidden="1"/>
    </xf>
    <xf numFmtId="0" fontId="33" fillId="4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1" fontId="84" fillId="6" borderId="21" xfId="0" applyNumberFormat="1" applyFont="1" applyFill="1" applyBorder="1" applyAlignment="1" applyProtection="1">
      <alignment horizontal="center" vertical="center"/>
      <protection hidden="1"/>
    </xf>
    <xf numFmtId="0" fontId="100" fillId="26" borderId="0" xfId="1" applyFont="1" applyFill="1" applyBorder="1" applyAlignment="1">
      <alignment horizontal="center" vertical="center"/>
    </xf>
    <xf numFmtId="1" fontId="99" fillId="0" borderId="0" xfId="1" applyNumberFormat="1" applyFont="1" applyFill="1" applyBorder="1" applyAlignment="1">
      <alignment horizontal="center" vertical="center"/>
    </xf>
    <xf numFmtId="0" fontId="99" fillId="0" borderId="0" xfId="1" applyFont="1" applyFill="1" applyBorder="1" applyAlignment="1">
      <alignment horizontal="center" vertical="center"/>
    </xf>
    <xf numFmtId="0" fontId="95" fillId="0" borderId="0" xfId="1" applyFont="1" applyFill="1" applyBorder="1" applyAlignment="1">
      <alignment horizontal="center" vertical="center"/>
    </xf>
    <xf numFmtId="0" fontId="73" fillId="0" borderId="0" xfId="1" applyNumberFormat="1" applyFont="1" applyFill="1" applyBorder="1" applyAlignment="1">
      <alignment horizontal="center" vertical="center"/>
    </xf>
    <xf numFmtId="0" fontId="91" fillId="0" borderId="0" xfId="3" applyFont="1" applyFill="1" applyBorder="1" applyAlignment="1">
      <alignment horizontal="left" vertical="center"/>
    </xf>
    <xf numFmtId="0" fontId="98" fillId="0" borderId="0" xfId="3" applyFont="1" applyFill="1" applyBorder="1" applyAlignment="1">
      <alignment horizontal="left" vertical="center"/>
    </xf>
    <xf numFmtId="1" fontId="99" fillId="0" borderId="23" xfId="1" applyNumberFormat="1" applyFont="1" applyBorder="1" applyAlignment="1">
      <alignment horizontal="center" vertical="center"/>
    </xf>
    <xf numFmtId="0" fontId="99" fillId="0" borderId="24" xfId="1" applyFont="1" applyBorder="1" applyAlignment="1">
      <alignment horizontal="center" vertical="center"/>
    </xf>
    <xf numFmtId="0" fontId="99" fillId="0" borderId="23" xfId="1" applyFont="1" applyBorder="1" applyAlignment="1">
      <alignment horizontal="center" vertical="center"/>
    </xf>
    <xf numFmtId="0" fontId="95" fillId="3" borderId="23" xfId="1" applyFont="1" applyFill="1" applyBorder="1" applyAlignment="1">
      <alignment horizontal="center" vertical="center"/>
    </xf>
    <xf numFmtId="0" fontId="95" fillId="3" borderId="0" xfId="1" applyFont="1" applyFill="1" applyBorder="1" applyAlignment="1">
      <alignment horizontal="center" vertical="center"/>
    </xf>
    <xf numFmtId="0" fontId="95" fillId="3" borderId="24" xfId="1" applyFont="1" applyFill="1" applyBorder="1" applyAlignment="1">
      <alignment horizontal="center" vertical="center"/>
    </xf>
    <xf numFmtId="0" fontId="73" fillId="0" borderId="23" xfId="1" applyNumberFormat="1" applyFont="1" applyFill="1" applyBorder="1" applyAlignment="1">
      <alignment horizontal="center" vertical="center"/>
    </xf>
    <xf numFmtId="0" fontId="73" fillId="0" borderId="24" xfId="1" applyNumberFormat="1" applyFont="1" applyFill="1" applyBorder="1" applyAlignment="1">
      <alignment horizontal="center" vertical="center"/>
    </xf>
    <xf numFmtId="0" fontId="91" fillId="0" borderId="23" xfId="3" applyFont="1" applyBorder="1" applyAlignment="1">
      <alignment horizontal="left" vertical="center"/>
    </xf>
    <xf numFmtId="0" fontId="91" fillId="0" borderId="24" xfId="3" applyFont="1" applyBorder="1" applyAlignment="1">
      <alignment horizontal="left" vertical="center"/>
    </xf>
    <xf numFmtId="0" fontId="98" fillId="0" borderId="23" xfId="3" applyFont="1" applyBorder="1" applyAlignment="1">
      <alignment horizontal="left" vertical="center"/>
    </xf>
    <xf numFmtId="0" fontId="98" fillId="0" borderId="24" xfId="3" applyFont="1" applyBorder="1" applyAlignment="1">
      <alignment horizontal="left" vertical="center"/>
    </xf>
    <xf numFmtId="1" fontId="97" fillId="0" borderId="50" xfId="1" applyNumberFormat="1" applyFont="1" applyFill="1" applyBorder="1" applyAlignment="1">
      <alignment horizontal="center" vertical="center"/>
    </xf>
    <xf numFmtId="1" fontId="97" fillId="0" borderId="51" xfId="1" applyNumberFormat="1" applyFont="1" applyFill="1" applyBorder="1" applyAlignment="1">
      <alignment horizontal="center" vertical="center"/>
    </xf>
    <xf numFmtId="1" fontId="97" fillId="0" borderId="52" xfId="1" applyNumberFormat="1" applyFont="1" applyFill="1" applyBorder="1" applyAlignment="1">
      <alignment horizontal="center" vertical="center"/>
    </xf>
    <xf numFmtId="0" fontId="93" fillId="25" borderId="16" xfId="1" applyFont="1" applyFill="1" applyBorder="1" applyAlignment="1">
      <alignment horizontal="center" vertical="center"/>
    </xf>
    <xf numFmtId="1" fontId="97" fillId="0" borderId="50" xfId="1" applyNumberFormat="1" applyFont="1" applyBorder="1" applyAlignment="1">
      <alignment horizontal="center" vertical="center"/>
    </xf>
    <xf numFmtId="1" fontId="97" fillId="0" borderId="51" xfId="1" applyNumberFormat="1" applyFont="1" applyBorder="1" applyAlignment="1">
      <alignment horizontal="center" vertical="center"/>
    </xf>
    <xf numFmtId="1" fontId="97" fillId="0" borderId="52" xfId="1" applyNumberFormat="1" applyFont="1" applyBorder="1" applyAlignment="1">
      <alignment horizontal="center" vertical="center"/>
    </xf>
    <xf numFmtId="0" fontId="95" fillId="3" borderId="3" xfId="1" applyFont="1" applyFill="1" applyBorder="1" applyAlignment="1">
      <alignment horizontal="center" vertical="center"/>
    </xf>
    <xf numFmtId="0" fontId="92" fillId="0" borderId="0" xfId="1" applyFont="1" applyBorder="1" applyAlignment="1">
      <alignment horizontal="center" vertical="center"/>
    </xf>
    <xf numFmtId="0" fontId="73" fillId="0" borderId="0" xfId="1" applyFont="1"/>
    <xf numFmtId="0" fontId="87" fillId="0" borderId="0" xfId="1" applyFont="1" applyBorder="1" applyAlignment="1">
      <alignment horizontal="center" vertical="center"/>
    </xf>
    <xf numFmtId="0" fontId="88" fillId="0" borderId="0" xfId="1" applyFont="1" applyBorder="1" applyAlignment="1">
      <alignment horizontal="center" vertical="center"/>
    </xf>
    <xf numFmtId="0" fontId="89" fillId="0" borderId="0" xfId="1" applyFont="1"/>
    <xf numFmtId="0" fontId="90" fillId="0" borderId="0" xfId="1" applyFont="1" applyAlignment="1">
      <alignment horizontal="center"/>
    </xf>
  </cellXfs>
  <cellStyles count="4">
    <cellStyle name="Normal" xfId="0" builtinId="0"/>
    <cellStyle name="Normal 2" xfId="3"/>
    <cellStyle name="normální 2" xfId="1"/>
    <cellStyle name="normální_plzen 23" xfId="2"/>
  </cellStyles>
  <dxfs count="4"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167</xdr:row>
      <xdr:rowOff>85725</xdr:rowOff>
    </xdr:from>
    <xdr:to>
      <xdr:col>8</xdr:col>
      <xdr:colOff>328806</xdr:colOff>
      <xdr:row>173</xdr:row>
      <xdr:rowOff>146442</xdr:rowOff>
    </xdr:to>
    <xdr:grpSp>
      <xdr:nvGrpSpPr>
        <xdr:cNvPr id="12" name="Group 11"/>
        <xdr:cNvGrpSpPr>
          <a:grpSpLocks noChangeAspect="1"/>
        </xdr:cNvGrpSpPr>
      </xdr:nvGrpSpPr>
      <xdr:grpSpPr>
        <a:xfrm>
          <a:off x="1091565" y="31685865"/>
          <a:ext cx="6910581" cy="1112277"/>
          <a:chOff x="938373" y="29147880"/>
          <a:chExt cx="13388372" cy="2474193"/>
        </a:xfrm>
      </xdr:grpSpPr>
      <xdr:grpSp>
        <xdr:nvGrpSpPr>
          <xdr:cNvPr id="13" name="Group 12"/>
          <xdr:cNvGrpSpPr/>
        </xdr:nvGrpSpPr>
        <xdr:grpSpPr>
          <a:xfrm>
            <a:off x="6408604" y="29147880"/>
            <a:ext cx="7918141" cy="2474193"/>
            <a:chOff x="6408604" y="29147880"/>
            <a:chExt cx="7918141" cy="2474193"/>
          </a:xfrm>
        </xdr:grpSpPr>
        <xdr:pic>
          <xdr:nvPicPr>
            <xdr:cNvPr id="15" name="Picture 1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2630" y="29147880"/>
              <a:ext cx="3054115" cy="24741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6" name="Picture 1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08604" y="29167420"/>
              <a:ext cx="4906120" cy="243511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373" y="29205940"/>
            <a:ext cx="5622915" cy="23684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505161</xdr:colOff>
      <xdr:row>181</xdr:row>
      <xdr:rowOff>67733</xdr:rowOff>
    </xdr:from>
    <xdr:to>
      <xdr:col>9</xdr:col>
      <xdr:colOff>93134</xdr:colOff>
      <xdr:row>187</xdr:row>
      <xdr:rowOff>175016</xdr:rowOff>
    </xdr:to>
    <xdr:grpSp>
      <xdr:nvGrpSpPr>
        <xdr:cNvPr id="2" name="Group 1"/>
        <xdr:cNvGrpSpPr>
          <a:grpSpLocks noChangeAspect="1"/>
        </xdr:cNvGrpSpPr>
      </xdr:nvGrpSpPr>
      <xdr:grpSpPr>
        <a:xfrm>
          <a:off x="1297641" y="30799193"/>
          <a:ext cx="6918413" cy="1075023"/>
          <a:chOff x="938373" y="29147880"/>
          <a:chExt cx="13388372" cy="2474193"/>
        </a:xfrm>
      </xdr:grpSpPr>
      <xdr:grpSp>
        <xdr:nvGrpSpPr>
          <xdr:cNvPr id="3" name="Group 2"/>
          <xdr:cNvGrpSpPr/>
        </xdr:nvGrpSpPr>
        <xdr:grpSpPr>
          <a:xfrm>
            <a:off x="6408604" y="29147880"/>
            <a:ext cx="7918141" cy="2474193"/>
            <a:chOff x="6408604" y="29147880"/>
            <a:chExt cx="7918141" cy="2474193"/>
          </a:xfrm>
        </xdr:grpSpPr>
        <xdr:pic>
          <xdr:nvPicPr>
            <xdr:cNvPr id="5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2630" y="29147880"/>
              <a:ext cx="3054115" cy="24741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08604" y="29167420"/>
              <a:ext cx="4906120" cy="243511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373" y="29205940"/>
            <a:ext cx="5622915" cy="23684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530860</xdr:colOff>
      <xdr:row>172</xdr:row>
      <xdr:rowOff>15240</xdr:rowOff>
    </xdr:from>
    <xdr:to>
      <xdr:col>8</xdr:col>
      <xdr:colOff>747683</xdr:colOff>
      <xdr:row>177</xdr:row>
      <xdr:rowOff>212542</xdr:rowOff>
    </xdr:to>
    <xdr:grpSp>
      <xdr:nvGrpSpPr>
        <xdr:cNvPr id="2" name="Group 1"/>
        <xdr:cNvGrpSpPr>
          <a:grpSpLocks noChangeAspect="1"/>
        </xdr:cNvGrpSpPr>
      </xdr:nvGrpSpPr>
      <xdr:grpSpPr>
        <a:xfrm>
          <a:off x="1422400" y="31523940"/>
          <a:ext cx="6998623" cy="1073602"/>
          <a:chOff x="938373" y="29147880"/>
          <a:chExt cx="13388372" cy="2474193"/>
        </a:xfrm>
      </xdr:grpSpPr>
      <xdr:grpSp>
        <xdr:nvGrpSpPr>
          <xdr:cNvPr id="3" name="Group 2"/>
          <xdr:cNvGrpSpPr/>
        </xdr:nvGrpSpPr>
        <xdr:grpSpPr>
          <a:xfrm>
            <a:off x="6408604" y="29147880"/>
            <a:ext cx="7918141" cy="2474193"/>
            <a:chOff x="6408604" y="29147880"/>
            <a:chExt cx="7918141" cy="2474193"/>
          </a:xfrm>
        </xdr:grpSpPr>
        <xdr:pic>
          <xdr:nvPicPr>
            <xdr:cNvPr id="5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2630" y="29147880"/>
              <a:ext cx="3054115" cy="24741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08604" y="29167420"/>
              <a:ext cx="4906120" cy="243511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373" y="29205940"/>
            <a:ext cx="5622915" cy="23684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119</xdr:row>
      <xdr:rowOff>7620</xdr:rowOff>
    </xdr:from>
    <xdr:to>
      <xdr:col>16</xdr:col>
      <xdr:colOff>44103</xdr:colOff>
      <xdr:row>124</xdr:row>
      <xdr:rowOff>121102</xdr:rowOff>
    </xdr:to>
    <xdr:grpSp>
      <xdr:nvGrpSpPr>
        <xdr:cNvPr id="2" name="Group 1"/>
        <xdr:cNvGrpSpPr>
          <a:grpSpLocks noChangeAspect="1"/>
        </xdr:cNvGrpSpPr>
      </xdr:nvGrpSpPr>
      <xdr:grpSpPr>
        <a:xfrm>
          <a:off x="1508760" y="13952220"/>
          <a:ext cx="7024023" cy="1088842"/>
          <a:chOff x="938373" y="29147880"/>
          <a:chExt cx="13388372" cy="2474193"/>
        </a:xfrm>
      </xdr:grpSpPr>
      <xdr:grpSp>
        <xdr:nvGrpSpPr>
          <xdr:cNvPr id="3" name="Group 2"/>
          <xdr:cNvGrpSpPr/>
        </xdr:nvGrpSpPr>
        <xdr:grpSpPr>
          <a:xfrm>
            <a:off x="6408604" y="29147880"/>
            <a:ext cx="7918141" cy="2474193"/>
            <a:chOff x="6408604" y="29147880"/>
            <a:chExt cx="7918141" cy="2474193"/>
          </a:xfrm>
        </xdr:grpSpPr>
        <xdr:pic>
          <xdr:nvPicPr>
            <xdr:cNvPr id="5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2630" y="29147880"/>
              <a:ext cx="3054115" cy="24741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08604" y="29167420"/>
              <a:ext cx="4906120" cy="243511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373" y="29205940"/>
            <a:ext cx="5622915" cy="23684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32</xdr:row>
      <xdr:rowOff>152400</xdr:rowOff>
    </xdr:from>
    <xdr:to>
      <xdr:col>29</xdr:col>
      <xdr:colOff>121080</xdr:colOff>
      <xdr:row>45</xdr:row>
      <xdr:rowOff>88900</xdr:rowOff>
    </xdr:to>
    <xdr:grpSp>
      <xdr:nvGrpSpPr>
        <xdr:cNvPr id="17" name="Group 16"/>
        <xdr:cNvGrpSpPr>
          <a:grpSpLocks noChangeAspect="1"/>
        </xdr:cNvGrpSpPr>
      </xdr:nvGrpSpPr>
      <xdr:grpSpPr>
        <a:xfrm>
          <a:off x="1333500" y="7848600"/>
          <a:ext cx="12465480" cy="2247900"/>
          <a:chOff x="938373" y="29147880"/>
          <a:chExt cx="13388372" cy="2474193"/>
        </a:xfrm>
      </xdr:grpSpPr>
      <xdr:grpSp>
        <xdr:nvGrpSpPr>
          <xdr:cNvPr id="18" name="Group 17"/>
          <xdr:cNvGrpSpPr/>
        </xdr:nvGrpSpPr>
        <xdr:grpSpPr>
          <a:xfrm>
            <a:off x="6408604" y="29147880"/>
            <a:ext cx="7918141" cy="2474193"/>
            <a:chOff x="6408604" y="29147880"/>
            <a:chExt cx="7918141" cy="2474193"/>
          </a:xfrm>
        </xdr:grpSpPr>
        <xdr:pic>
          <xdr:nvPicPr>
            <xdr:cNvPr id="20" name="Picture 19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2630" y="29147880"/>
              <a:ext cx="3054115" cy="24741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" name="Picture 20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08604" y="29167420"/>
              <a:ext cx="4906120" cy="243511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19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373" y="29205940"/>
            <a:ext cx="5622915" cy="23684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145675</xdr:colOff>
      <xdr:row>50</xdr:row>
      <xdr:rowOff>44825</xdr:rowOff>
    </xdr:from>
    <xdr:to>
      <xdr:col>10</xdr:col>
      <xdr:colOff>496125</xdr:colOff>
      <xdr:row>65</xdr:row>
      <xdr:rowOff>67365</xdr:rowOff>
    </xdr:to>
    <xdr:grpSp>
      <xdr:nvGrpSpPr>
        <xdr:cNvPr id="2" name="Group 1"/>
        <xdr:cNvGrpSpPr>
          <a:grpSpLocks noChangeAspect="1"/>
        </xdr:cNvGrpSpPr>
      </xdr:nvGrpSpPr>
      <xdr:grpSpPr>
        <a:xfrm>
          <a:off x="145675" y="10297189"/>
          <a:ext cx="7942741" cy="1269449"/>
          <a:chOff x="938373" y="29147880"/>
          <a:chExt cx="13388372" cy="2474193"/>
        </a:xfrm>
      </xdr:grpSpPr>
      <xdr:grpSp>
        <xdr:nvGrpSpPr>
          <xdr:cNvPr id="3" name="Group 2"/>
          <xdr:cNvGrpSpPr/>
        </xdr:nvGrpSpPr>
        <xdr:grpSpPr>
          <a:xfrm>
            <a:off x="6408604" y="29147880"/>
            <a:ext cx="7918141" cy="2474193"/>
            <a:chOff x="6408604" y="29147880"/>
            <a:chExt cx="7918141" cy="2474193"/>
          </a:xfrm>
        </xdr:grpSpPr>
        <xdr:pic>
          <xdr:nvPicPr>
            <xdr:cNvPr id="5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2630" y="29147880"/>
              <a:ext cx="3054115" cy="24741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08604" y="29167420"/>
              <a:ext cx="4906120" cy="243511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373" y="29205940"/>
            <a:ext cx="5622915" cy="23684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11</xdr:col>
      <xdr:colOff>179293</xdr:colOff>
      <xdr:row>50</xdr:row>
      <xdr:rowOff>22412</xdr:rowOff>
    </xdr:from>
    <xdr:to>
      <xdr:col>18</xdr:col>
      <xdr:colOff>1403802</xdr:colOff>
      <xdr:row>65</xdr:row>
      <xdr:rowOff>44952</xdr:rowOff>
    </xdr:to>
    <xdr:grpSp>
      <xdr:nvGrpSpPr>
        <xdr:cNvPr id="7" name="Group 6"/>
        <xdr:cNvGrpSpPr>
          <a:grpSpLocks noChangeAspect="1"/>
        </xdr:cNvGrpSpPr>
      </xdr:nvGrpSpPr>
      <xdr:grpSpPr>
        <a:xfrm>
          <a:off x="8519729" y="10274776"/>
          <a:ext cx="7916255" cy="1269449"/>
          <a:chOff x="938373" y="29147880"/>
          <a:chExt cx="13388372" cy="2474193"/>
        </a:xfrm>
      </xdr:grpSpPr>
      <xdr:grpSp>
        <xdr:nvGrpSpPr>
          <xdr:cNvPr id="8" name="Group 7"/>
          <xdr:cNvGrpSpPr/>
        </xdr:nvGrpSpPr>
        <xdr:grpSpPr>
          <a:xfrm>
            <a:off x="6408604" y="29147880"/>
            <a:ext cx="7918141" cy="2474193"/>
            <a:chOff x="6408604" y="29147880"/>
            <a:chExt cx="7918141" cy="2474193"/>
          </a:xfrm>
        </xdr:grpSpPr>
        <xdr:pic>
          <xdr:nvPicPr>
            <xdr:cNvPr id="10" name="Picture 9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2630" y="29147880"/>
              <a:ext cx="3054115" cy="24741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" name="Picture 10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08604" y="29167420"/>
              <a:ext cx="4906120" cy="243511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373" y="29205940"/>
            <a:ext cx="5622915" cy="23684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X50"/>
  <sheetViews>
    <sheetView topLeftCell="A19" zoomScaleNormal="100" workbookViewId="0">
      <selection activeCell="B31" sqref="B31"/>
    </sheetView>
  </sheetViews>
  <sheetFormatPr defaultColWidth="8.88671875" defaultRowHeight="13.8" outlineLevelCol="1" x14ac:dyDescent="0.3"/>
  <cols>
    <col min="1" max="1" width="13.44140625" style="2" customWidth="1"/>
    <col min="2" max="2" width="85" style="2" customWidth="1"/>
    <col min="3" max="3" width="8" style="2" customWidth="1"/>
    <col min="4" max="4" width="6" style="2" customWidth="1"/>
    <col min="5" max="9" width="8.88671875" style="3" customWidth="1" outlineLevel="1"/>
    <col min="10" max="10" width="9.5546875" style="3" customWidth="1" outlineLevel="1"/>
    <col min="11" max="11" width="8.88671875" style="3" customWidth="1" outlineLevel="1"/>
    <col min="12" max="12" width="8.88671875" style="18"/>
    <col min="13" max="13" width="2.6640625" style="18" customWidth="1" outlineLevel="1"/>
    <col min="14" max="14" width="14.88671875" style="18" customWidth="1" outlineLevel="1"/>
    <col min="15" max="17" width="8.88671875" style="18" customWidth="1" outlineLevel="1"/>
    <col min="18" max="18" width="8.88671875" style="18"/>
    <col min="19" max="19" width="3" style="18" customWidth="1" outlineLevel="1"/>
    <col min="20" max="20" width="4.44140625" style="18" customWidth="1" outlineLevel="1"/>
    <col min="21" max="21" width="22.33203125" style="18" customWidth="1" outlineLevel="1"/>
    <col min="22" max="22" width="8.88671875" style="18" customWidth="1" outlineLevel="1"/>
    <col min="23" max="23" width="3.88671875" style="18" customWidth="1" outlineLevel="1"/>
    <col min="24" max="24" width="3.44140625" style="18" customWidth="1" outlineLevel="1"/>
    <col min="25" max="16384" width="8.88671875" style="18"/>
  </cols>
  <sheetData>
    <row r="1" spans="1:24" s="3" customFormat="1" x14ac:dyDescent="0.3">
      <c r="A1" s="1" t="s">
        <v>35</v>
      </c>
      <c r="B1" s="1" t="s">
        <v>36</v>
      </c>
      <c r="C1" s="1" t="s">
        <v>50</v>
      </c>
      <c r="D1" s="2"/>
    </row>
    <row r="2" spans="1:24" s="3" customFormat="1" x14ac:dyDescent="0.3">
      <c r="A2" s="4" t="s">
        <v>167</v>
      </c>
      <c r="B2" s="2">
        <v>77</v>
      </c>
      <c r="C2" s="5">
        <f>B2</f>
        <v>77</v>
      </c>
      <c r="D2" s="2"/>
      <c r="E2" s="276" t="s">
        <v>203</v>
      </c>
      <c r="F2" s="276" t="s">
        <v>204</v>
      </c>
      <c r="G2" s="276" t="s">
        <v>61</v>
      </c>
      <c r="H2" s="277" t="s">
        <v>62</v>
      </c>
      <c r="I2" s="277" t="s">
        <v>205</v>
      </c>
      <c r="J2" s="277" t="s">
        <v>63</v>
      </c>
      <c r="K2" s="278" t="s">
        <v>64</v>
      </c>
      <c r="M2" s="6" t="s">
        <v>65</v>
      </c>
      <c r="N2" s="6"/>
      <c r="O2" s="6"/>
      <c r="P2" s="6"/>
      <c r="Q2" s="6"/>
      <c r="S2" s="7"/>
      <c r="T2" s="8"/>
      <c r="U2" s="8"/>
      <c r="V2" s="8"/>
      <c r="W2" s="8"/>
      <c r="X2" s="9"/>
    </row>
    <row r="3" spans="1:24" s="3" customFormat="1" x14ac:dyDescent="0.3">
      <c r="A3" s="4" t="s">
        <v>168</v>
      </c>
      <c r="B3" s="2">
        <v>10</v>
      </c>
      <c r="C3" s="5">
        <f>B3+C2</f>
        <v>87</v>
      </c>
      <c r="D3" s="2"/>
      <c r="E3" s="279">
        <v>1.1574074074074073E-4</v>
      </c>
      <c r="F3" s="279">
        <v>6.9444444444444444E-5</v>
      </c>
      <c r="G3" s="279">
        <v>3.4722222222222202E-5</v>
      </c>
      <c r="H3" s="280">
        <v>25</v>
      </c>
      <c r="I3" s="280">
        <v>10</v>
      </c>
      <c r="J3" s="280">
        <v>3</v>
      </c>
      <c r="K3" s="280">
        <v>5</v>
      </c>
      <c r="N3" s="3" t="s">
        <v>116</v>
      </c>
      <c r="S3" s="10"/>
      <c r="T3" s="11" t="s">
        <v>210</v>
      </c>
      <c r="U3" s="11" t="s">
        <v>208</v>
      </c>
      <c r="W3" s="11"/>
      <c r="X3" s="12"/>
    </row>
    <row r="4" spans="1:24" s="3" customFormat="1" x14ac:dyDescent="0.3">
      <c r="A4" s="4" t="s">
        <v>169</v>
      </c>
      <c r="B4" s="2">
        <v>90</v>
      </c>
      <c r="C4" s="5">
        <f>B4+C3</f>
        <v>177</v>
      </c>
      <c r="D4" s="2"/>
      <c r="E4" s="279">
        <v>6.9444444444444444E-5</v>
      </c>
      <c r="F4" s="279">
        <v>4.6296296296296294E-5</v>
      </c>
      <c r="G4" s="279">
        <v>2.3148148148148147E-5</v>
      </c>
      <c r="H4" s="280">
        <v>20</v>
      </c>
      <c r="I4" s="280">
        <v>9</v>
      </c>
      <c r="J4" s="280">
        <v>2</v>
      </c>
      <c r="K4" s="280">
        <v>3</v>
      </c>
      <c r="N4" s="3" t="s">
        <v>66</v>
      </c>
      <c r="S4" s="10"/>
      <c r="T4" s="11" t="s">
        <v>571</v>
      </c>
      <c r="U4" s="11" t="s">
        <v>641</v>
      </c>
      <c r="W4" s="11"/>
      <c r="X4" s="12"/>
    </row>
    <row r="5" spans="1:24" s="3" customFormat="1" x14ac:dyDescent="0.3">
      <c r="A5" s="4" t="s">
        <v>170</v>
      </c>
      <c r="B5" s="2">
        <v>95</v>
      </c>
      <c r="C5" s="5">
        <f>B5+C4</f>
        <v>272</v>
      </c>
      <c r="D5" s="2"/>
      <c r="E5" s="279">
        <v>4.6296296296296294E-5</v>
      </c>
      <c r="F5" s="279">
        <v>2.3148148148148147E-5</v>
      </c>
      <c r="G5" s="279">
        <v>1.1574074074074073E-5</v>
      </c>
      <c r="H5" s="280">
        <v>16</v>
      </c>
      <c r="I5" s="280">
        <v>8</v>
      </c>
      <c r="J5" s="280">
        <v>1</v>
      </c>
      <c r="K5" s="280">
        <v>2</v>
      </c>
      <c r="N5" s="3" t="s">
        <v>67</v>
      </c>
      <c r="S5" s="10"/>
      <c r="T5" s="11" t="s">
        <v>38</v>
      </c>
      <c r="U5" s="11" t="s">
        <v>648</v>
      </c>
      <c r="W5" s="11"/>
      <c r="X5" s="12"/>
    </row>
    <row r="6" spans="1:24" s="3" customFormat="1" x14ac:dyDescent="0.3">
      <c r="A6" s="4" t="s">
        <v>166</v>
      </c>
      <c r="B6" s="2">
        <f>SUM(B2:B5)</f>
        <v>272</v>
      </c>
      <c r="C6" s="5"/>
      <c r="D6" s="2"/>
      <c r="E6" s="281"/>
      <c r="F6" s="281"/>
      <c r="G6" s="281"/>
      <c r="H6" s="280">
        <v>14</v>
      </c>
      <c r="I6" s="280">
        <v>7</v>
      </c>
      <c r="J6" s="282"/>
      <c r="K6" s="280">
        <v>1</v>
      </c>
      <c r="S6" s="10"/>
      <c r="T6" s="11" t="s">
        <v>133</v>
      </c>
      <c r="U6" s="11" t="s">
        <v>134</v>
      </c>
      <c r="W6" s="11"/>
      <c r="X6" s="12"/>
    </row>
    <row r="7" spans="1:24" s="3" customFormat="1" x14ac:dyDescent="0.3">
      <c r="A7" s="4" t="s">
        <v>34</v>
      </c>
      <c r="B7" s="13" t="s">
        <v>199</v>
      </c>
      <c r="C7" s="2"/>
      <c r="D7" s="2"/>
      <c r="E7" s="281"/>
      <c r="F7" s="281"/>
      <c r="G7" s="281"/>
      <c r="H7" s="280">
        <v>12</v>
      </c>
      <c r="I7" s="280">
        <v>6</v>
      </c>
      <c r="J7" s="282"/>
      <c r="K7" s="280"/>
      <c r="M7" s="6" t="s">
        <v>68</v>
      </c>
      <c r="N7" s="6"/>
      <c r="O7" s="6"/>
      <c r="P7" s="6"/>
      <c r="Q7" s="6"/>
      <c r="S7" s="10"/>
      <c r="T7" s="11" t="s">
        <v>300</v>
      </c>
      <c r="U7" s="11" t="s">
        <v>642</v>
      </c>
      <c r="W7" s="11"/>
      <c r="X7" s="12"/>
    </row>
    <row r="8" spans="1:24" s="3" customFormat="1" x14ac:dyDescent="0.3">
      <c r="A8" s="4" t="s">
        <v>165</v>
      </c>
      <c r="B8" s="13" t="s">
        <v>200</v>
      </c>
      <c r="C8" s="2"/>
      <c r="D8" s="2"/>
      <c r="E8" s="281"/>
      <c r="F8" s="281"/>
      <c r="G8" s="281"/>
      <c r="H8" s="280">
        <v>10</v>
      </c>
      <c r="I8" s="280">
        <v>5</v>
      </c>
      <c r="J8" s="282"/>
      <c r="K8" s="282"/>
      <c r="N8" s="3" t="s">
        <v>69</v>
      </c>
      <c r="S8" s="10"/>
      <c r="T8" s="11" t="s">
        <v>555</v>
      </c>
      <c r="U8" s="11" t="s">
        <v>643</v>
      </c>
      <c r="W8" s="11"/>
      <c r="X8" s="12"/>
    </row>
    <row r="9" spans="1:24" s="3" customFormat="1" x14ac:dyDescent="0.3">
      <c r="A9" s="4" t="s">
        <v>37</v>
      </c>
      <c r="B9" s="2">
        <v>2015</v>
      </c>
      <c r="C9" s="2"/>
      <c r="D9" s="2"/>
      <c r="E9" s="281"/>
      <c r="F9" s="281"/>
      <c r="G9" s="281"/>
      <c r="H9" s="280">
        <v>9</v>
      </c>
      <c r="I9" s="280">
        <v>4</v>
      </c>
      <c r="J9" s="282"/>
      <c r="K9" s="282"/>
      <c r="N9" s="3" t="s">
        <v>70</v>
      </c>
      <c r="S9" s="10"/>
      <c r="T9" s="11" t="s">
        <v>280</v>
      </c>
      <c r="U9" s="11" t="s">
        <v>279</v>
      </c>
      <c r="W9" s="11"/>
      <c r="X9" s="12"/>
    </row>
    <row r="10" spans="1:24" s="3" customFormat="1" x14ac:dyDescent="0.3">
      <c r="A10" s="4" t="s">
        <v>160</v>
      </c>
      <c r="B10" s="14">
        <v>42223</v>
      </c>
      <c r="C10" s="2"/>
      <c r="D10" s="2"/>
      <c r="E10" s="281"/>
      <c r="F10" s="281"/>
      <c r="G10" s="281"/>
      <c r="H10" s="280">
        <v>8</v>
      </c>
      <c r="I10" s="280">
        <v>3</v>
      </c>
      <c r="J10" s="282"/>
      <c r="K10" s="282"/>
      <c r="N10" s="3" t="s">
        <v>71</v>
      </c>
      <c r="S10" s="10"/>
      <c r="T10" s="11" t="s">
        <v>245</v>
      </c>
      <c r="U10" s="11" t="s">
        <v>244</v>
      </c>
      <c r="W10" s="11"/>
      <c r="X10" s="12"/>
    </row>
    <row r="11" spans="1:24" s="3" customFormat="1" x14ac:dyDescent="0.3">
      <c r="A11" s="4" t="s">
        <v>161</v>
      </c>
      <c r="B11" s="14">
        <v>42224</v>
      </c>
      <c r="C11" s="2"/>
      <c r="D11" s="2"/>
      <c r="E11" s="281"/>
      <c r="F11" s="281"/>
      <c r="G11" s="281"/>
      <c r="H11" s="280">
        <v>7</v>
      </c>
      <c r="I11" s="280">
        <v>2</v>
      </c>
      <c r="J11" s="282"/>
      <c r="K11" s="282"/>
      <c r="S11" s="10"/>
      <c r="T11" s="11" t="s">
        <v>243</v>
      </c>
      <c r="U11" s="11" t="s">
        <v>242</v>
      </c>
      <c r="W11" s="11"/>
      <c r="X11" s="12"/>
    </row>
    <row r="12" spans="1:24" s="3" customFormat="1" x14ac:dyDescent="0.3">
      <c r="A12" s="4" t="s">
        <v>162</v>
      </c>
      <c r="B12" s="14">
        <v>42224</v>
      </c>
      <c r="C12" s="2"/>
      <c r="D12" s="2"/>
      <c r="E12" s="281"/>
      <c r="F12" s="281"/>
      <c r="G12" s="281"/>
      <c r="H12" s="280">
        <v>6</v>
      </c>
      <c r="I12" s="280">
        <v>1</v>
      </c>
      <c r="J12" s="282"/>
      <c r="K12" s="282"/>
      <c r="M12" s="6" t="s">
        <v>117</v>
      </c>
      <c r="N12" s="6"/>
      <c r="O12" s="6"/>
      <c r="P12" s="6"/>
      <c r="Q12" s="6"/>
      <c r="S12" s="10"/>
      <c r="T12" s="11" t="s">
        <v>218</v>
      </c>
      <c r="U12" s="11" t="s">
        <v>644</v>
      </c>
      <c r="W12" s="11"/>
      <c r="X12" s="12"/>
    </row>
    <row r="13" spans="1:24" s="3" customFormat="1" x14ac:dyDescent="0.3">
      <c r="A13" s="4" t="s">
        <v>163</v>
      </c>
      <c r="B13" s="14">
        <v>41860</v>
      </c>
      <c r="C13" s="2"/>
      <c r="D13" s="2"/>
      <c r="E13" s="281"/>
      <c r="F13" s="281"/>
      <c r="G13" s="281"/>
      <c r="H13" s="280">
        <v>5</v>
      </c>
      <c r="I13" s="283"/>
      <c r="J13" s="282"/>
      <c r="K13" s="282"/>
      <c r="N13" s="3" t="s">
        <v>73</v>
      </c>
      <c r="S13" s="10"/>
      <c r="T13" s="11" t="s">
        <v>232</v>
      </c>
      <c r="U13" s="11" t="s">
        <v>231</v>
      </c>
      <c r="W13" s="11"/>
      <c r="X13" s="12"/>
    </row>
    <row r="14" spans="1:24" s="3" customFormat="1" x14ac:dyDescent="0.3">
      <c r="A14" s="4" t="s">
        <v>164</v>
      </c>
      <c r="B14" s="15" t="s">
        <v>201</v>
      </c>
      <c r="C14" s="2"/>
      <c r="D14" s="2"/>
      <c r="E14" s="281"/>
      <c r="F14" s="281"/>
      <c r="G14" s="281"/>
      <c r="H14" s="280">
        <v>4</v>
      </c>
      <c r="I14" s="283"/>
      <c r="J14" s="282"/>
      <c r="K14" s="282"/>
      <c r="N14" s="3" t="s">
        <v>71</v>
      </c>
      <c r="S14" s="10"/>
      <c r="T14" s="11" t="s">
        <v>214</v>
      </c>
      <c r="U14" s="11" t="s">
        <v>645</v>
      </c>
      <c r="W14" s="11"/>
      <c r="X14" s="12"/>
    </row>
    <row r="15" spans="1:24" s="3" customFormat="1" x14ac:dyDescent="0.3">
      <c r="A15" s="4"/>
      <c r="B15" s="2"/>
      <c r="C15" s="2"/>
      <c r="D15" s="2"/>
      <c r="E15" s="281"/>
      <c r="F15" s="281"/>
      <c r="G15" s="281"/>
      <c r="H15" s="280">
        <v>3</v>
      </c>
      <c r="I15" s="283"/>
      <c r="J15" s="282"/>
      <c r="K15" s="282"/>
      <c r="S15" s="10"/>
      <c r="T15" s="11" t="s">
        <v>576</v>
      </c>
      <c r="U15" s="11" t="s">
        <v>646</v>
      </c>
      <c r="W15" s="11"/>
      <c r="X15" s="12"/>
    </row>
    <row r="16" spans="1:24" s="3" customFormat="1" x14ac:dyDescent="0.3">
      <c r="A16" s="4" t="s">
        <v>159</v>
      </c>
      <c r="B16" s="13" t="s">
        <v>607</v>
      </c>
      <c r="C16" s="2"/>
      <c r="D16" s="2"/>
      <c r="E16" s="281"/>
      <c r="F16" s="281"/>
      <c r="G16" s="281"/>
      <c r="H16" s="280">
        <v>2</v>
      </c>
      <c r="I16" s="283"/>
      <c r="J16" s="282"/>
      <c r="K16" s="282"/>
      <c r="M16" s="6" t="s">
        <v>202</v>
      </c>
      <c r="N16" s="6"/>
      <c r="O16" s="6"/>
      <c r="P16" s="6"/>
      <c r="Q16" s="6"/>
      <c r="S16" s="10"/>
      <c r="T16" s="11" t="s">
        <v>274</v>
      </c>
      <c r="U16" s="11" t="s">
        <v>647</v>
      </c>
      <c r="W16" s="11"/>
      <c r="X16" s="12"/>
    </row>
    <row r="17" spans="1:24" s="3" customFormat="1" x14ac:dyDescent="0.3">
      <c r="A17" s="4" t="s">
        <v>155</v>
      </c>
      <c r="B17" s="16" t="s">
        <v>687</v>
      </c>
      <c r="C17" s="2" t="s">
        <v>607</v>
      </c>
      <c r="D17" s="2"/>
      <c r="E17" s="281"/>
      <c r="F17" s="281"/>
      <c r="G17" s="281"/>
      <c r="H17" s="280">
        <v>1</v>
      </c>
      <c r="I17" s="283"/>
      <c r="J17" s="282"/>
      <c r="K17" s="282"/>
      <c r="N17" s="3" t="s">
        <v>138</v>
      </c>
      <c r="S17" s="10"/>
      <c r="T17" s="11" t="s">
        <v>222</v>
      </c>
      <c r="U17" s="11" t="s">
        <v>221</v>
      </c>
      <c r="W17" s="11"/>
      <c r="X17" s="12"/>
    </row>
    <row r="18" spans="1:24" s="3" customFormat="1" x14ac:dyDescent="0.3">
      <c r="A18" s="4" t="s">
        <v>156</v>
      </c>
      <c r="B18" s="17" t="s">
        <v>608</v>
      </c>
      <c r="C18" s="2" t="s">
        <v>607</v>
      </c>
      <c r="D18" s="2"/>
      <c r="S18" s="10"/>
      <c r="T18" s="11" t="s">
        <v>39</v>
      </c>
      <c r="U18" s="11" t="s">
        <v>328</v>
      </c>
      <c r="W18" s="11"/>
      <c r="X18" s="12"/>
    </row>
    <row r="19" spans="1:24" s="3" customFormat="1" x14ac:dyDescent="0.3">
      <c r="A19" s="4" t="s">
        <v>157</v>
      </c>
      <c r="B19" s="17" t="s">
        <v>609</v>
      </c>
      <c r="C19" s="2" t="s">
        <v>607</v>
      </c>
      <c r="D19" s="2"/>
      <c r="M19" s="6" t="s">
        <v>74</v>
      </c>
      <c r="N19" s="6"/>
      <c r="O19" s="6"/>
      <c r="P19" s="6"/>
      <c r="Q19" s="6"/>
      <c r="S19" s="10"/>
      <c r="T19" s="11" t="s">
        <v>501</v>
      </c>
      <c r="U19" s="11" t="s">
        <v>499</v>
      </c>
      <c r="W19" s="11"/>
      <c r="X19" s="12"/>
    </row>
    <row r="20" spans="1:24" s="3" customFormat="1" x14ac:dyDescent="0.3">
      <c r="A20" s="4" t="s">
        <v>158</v>
      </c>
      <c r="B20" s="16" t="s">
        <v>610</v>
      </c>
      <c r="C20" s="2" t="s">
        <v>607</v>
      </c>
      <c r="D20" s="2"/>
      <c r="N20" s="3" t="s">
        <v>75</v>
      </c>
      <c r="S20" s="10"/>
      <c r="T20" s="11" t="s">
        <v>258</v>
      </c>
      <c r="U20" s="11" t="s">
        <v>257</v>
      </c>
      <c r="W20" s="11"/>
      <c r="X20" s="12"/>
    </row>
    <row r="21" spans="1:24" s="3" customFormat="1" x14ac:dyDescent="0.3">
      <c r="A21" s="4"/>
      <c r="B21" s="2"/>
      <c r="C21" s="2"/>
      <c r="D21" s="2"/>
      <c r="N21" s="3" t="s">
        <v>76</v>
      </c>
      <c r="S21" s="10"/>
      <c r="T21" s="11"/>
      <c r="U21" s="11"/>
      <c r="W21" s="11"/>
      <c r="X21" s="12"/>
    </row>
    <row r="22" spans="1:24" s="3" customFormat="1" x14ac:dyDescent="0.3">
      <c r="A22" s="4" t="s">
        <v>171</v>
      </c>
      <c r="B22" s="16" t="s">
        <v>126</v>
      </c>
      <c r="C22" s="2"/>
      <c r="D22" s="2"/>
      <c r="S22" s="10"/>
      <c r="T22" s="11"/>
      <c r="U22" s="11"/>
      <c r="W22" s="11"/>
      <c r="X22" s="12"/>
    </row>
    <row r="23" spans="1:24" s="3" customFormat="1" x14ac:dyDescent="0.3">
      <c r="A23" s="4" t="s">
        <v>172</v>
      </c>
      <c r="B23" s="17" t="s">
        <v>113</v>
      </c>
      <c r="C23" s="2"/>
      <c r="D23" s="2"/>
      <c r="N23" s="49" t="s">
        <v>210</v>
      </c>
      <c r="O23" s="67" t="s">
        <v>208</v>
      </c>
      <c r="S23" s="10"/>
      <c r="T23" s="11"/>
      <c r="U23" s="11"/>
      <c r="W23" s="11"/>
      <c r="X23" s="12"/>
    </row>
    <row r="24" spans="1:24" s="3" customFormat="1" x14ac:dyDescent="0.3">
      <c r="A24" s="4" t="s">
        <v>173</v>
      </c>
      <c r="B24" s="17" t="s">
        <v>114</v>
      </c>
      <c r="C24" s="2"/>
      <c r="D24" s="2"/>
      <c r="N24" s="49" t="s">
        <v>571</v>
      </c>
      <c r="O24" s="67" t="s">
        <v>618</v>
      </c>
      <c r="S24" s="10"/>
      <c r="T24" s="11"/>
      <c r="U24" s="11"/>
      <c r="W24" s="11"/>
      <c r="X24" s="12"/>
    </row>
    <row r="25" spans="1:24" s="3" customFormat="1" x14ac:dyDescent="0.3">
      <c r="A25" s="4" t="s">
        <v>174</v>
      </c>
      <c r="B25" s="16" t="s">
        <v>115</v>
      </c>
      <c r="C25" s="2"/>
      <c r="D25" s="2"/>
      <c r="N25" s="49" t="s">
        <v>38</v>
      </c>
      <c r="O25" s="67" t="s">
        <v>638</v>
      </c>
      <c r="S25" s="10"/>
      <c r="T25" s="11"/>
      <c r="U25" s="11"/>
      <c r="W25" s="11"/>
      <c r="X25" s="12"/>
    </row>
    <row r="26" spans="1:24" x14ac:dyDescent="0.3">
      <c r="A26" s="4"/>
      <c r="N26" s="49" t="s">
        <v>133</v>
      </c>
      <c r="O26" s="67" t="s">
        <v>134</v>
      </c>
      <c r="S26" s="19"/>
      <c r="T26" s="20"/>
      <c r="U26" s="20"/>
      <c r="V26" s="20"/>
      <c r="W26" s="20"/>
      <c r="X26" s="21"/>
    </row>
    <row r="27" spans="1:24" x14ac:dyDescent="0.3">
      <c r="A27" s="4" t="s">
        <v>175</v>
      </c>
      <c r="B27" s="2">
        <v>33</v>
      </c>
      <c r="N27" s="49" t="s">
        <v>300</v>
      </c>
      <c r="O27" s="67" t="s">
        <v>639</v>
      </c>
    </row>
    <row r="28" spans="1:24" x14ac:dyDescent="0.3">
      <c r="A28" s="22"/>
      <c r="N28" s="49" t="s">
        <v>555</v>
      </c>
      <c r="O28" s="67" t="s">
        <v>640</v>
      </c>
    </row>
    <row r="29" spans="1:24" x14ac:dyDescent="0.3">
      <c r="A29" s="23" t="s">
        <v>176</v>
      </c>
      <c r="B29" s="24" t="s">
        <v>602</v>
      </c>
      <c r="N29" s="49" t="s">
        <v>280</v>
      </c>
      <c r="O29" s="67" t="s">
        <v>279</v>
      </c>
    </row>
    <row r="30" spans="1:24" x14ac:dyDescent="0.3">
      <c r="A30" s="23" t="s">
        <v>177</v>
      </c>
      <c r="B30" s="24" t="s">
        <v>688</v>
      </c>
      <c r="N30" s="49" t="s">
        <v>245</v>
      </c>
      <c r="O30" s="67" t="s">
        <v>244</v>
      </c>
    </row>
    <row r="31" spans="1:24" x14ac:dyDescent="0.3">
      <c r="A31" s="23" t="s">
        <v>178</v>
      </c>
      <c r="B31" s="24" t="s">
        <v>603</v>
      </c>
      <c r="N31" s="49" t="s">
        <v>243</v>
      </c>
      <c r="O31" s="67" t="s">
        <v>242</v>
      </c>
    </row>
    <row r="32" spans="1:24" x14ac:dyDescent="0.3">
      <c r="A32" s="23" t="s">
        <v>179</v>
      </c>
      <c r="B32" s="24" t="s">
        <v>603</v>
      </c>
      <c r="N32" s="49" t="s">
        <v>218</v>
      </c>
      <c r="O32" s="67" t="s">
        <v>637</v>
      </c>
    </row>
    <row r="33" spans="1:15" x14ac:dyDescent="0.3">
      <c r="N33" s="49" t="s">
        <v>232</v>
      </c>
      <c r="O33" s="67" t="s">
        <v>231</v>
      </c>
    </row>
    <row r="34" spans="1:15" x14ac:dyDescent="0.3">
      <c r="A34" s="24" t="s">
        <v>144</v>
      </c>
      <c r="B34" s="2" t="s">
        <v>112</v>
      </c>
      <c r="N34" s="49" t="s">
        <v>214</v>
      </c>
      <c r="O34" s="67" t="s">
        <v>632</v>
      </c>
    </row>
    <row r="35" spans="1:15" x14ac:dyDescent="0.3">
      <c r="A35" s="24" t="s">
        <v>145</v>
      </c>
      <c r="B35" s="2" t="s">
        <v>121</v>
      </c>
      <c r="N35" s="49" t="s">
        <v>576</v>
      </c>
      <c r="O35" s="67" t="s">
        <v>625</v>
      </c>
    </row>
    <row r="36" spans="1:15" x14ac:dyDescent="0.3">
      <c r="A36" s="24" t="s">
        <v>146</v>
      </c>
      <c r="B36" s="2" t="s">
        <v>122</v>
      </c>
      <c r="N36" s="49" t="s">
        <v>274</v>
      </c>
      <c r="O36" s="67" t="s">
        <v>606</v>
      </c>
    </row>
    <row r="37" spans="1:15" x14ac:dyDescent="0.3">
      <c r="A37" s="24" t="s">
        <v>147</v>
      </c>
      <c r="B37" s="2" t="s">
        <v>124</v>
      </c>
      <c r="N37" s="49" t="s">
        <v>222</v>
      </c>
      <c r="O37" s="67" t="s">
        <v>221</v>
      </c>
    </row>
    <row r="38" spans="1:15" x14ac:dyDescent="0.3">
      <c r="A38" s="24"/>
      <c r="N38" s="49" t="s">
        <v>39</v>
      </c>
      <c r="O38" s="67" t="s">
        <v>328</v>
      </c>
    </row>
    <row r="39" spans="1:15" x14ac:dyDescent="0.3">
      <c r="A39" s="24" t="s">
        <v>180</v>
      </c>
      <c r="B39" s="25" t="s">
        <v>184</v>
      </c>
      <c r="N39" s="49" t="s">
        <v>501</v>
      </c>
      <c r="O39" s="67" t="s">
        <v>499</v>
      </c>
    </row>
    <row r="40" spans="1:15" x14ac:dyDescent="0.3">
      <c r="A40" s="24" t="s">
        <v>181</v>
      </c>
      <c r="B40" s="26" t="s">
        <v>154</v>
      </c>
      <c r="N40" s="49" t="s">
        <v>258</v>
      </c>
      <c r="O40" s="67" t="s">
        <v>257</v>
      </c>
    </row>
    <row r="41" spans="1:15" x14ac:dyDescent="0.3">
      <c r="A41" s="24" t="s">
        <v>182</v>
      </c>
      <c r="B41" s="27" t="s">
        <v>45</v>
      </c>
    </row>
    <row r="42" spans="1:15" x14ac:dyDescent="0.3">
      <c r="A42" s="24" t="s">
        <v>183</v>
      </c>
      <c r="B42" s="26" t="s">
        <v>139</v>
      </c>
    </row>
    <row r="43" spans="1:15" x14ac:dyDescent="0.3">
      <c r="A43" s="24"/>
    </row>
    <row r="44" spans="1:15" x14ac:dyDescent="0.3">
      <c r="A44" s="24" t="s">
        <v>140</v>
      </c>
      <c r="B44" s="28" t="s">
        <v>125</v>
      </c>
    </row>
    <row r="45" spans="1:15" x14ac:dyDescent="0.3">
      <c r="A45" s="24" t="s">
        <v>141</v>
      </c>
      <c r="B45" s="28" t="s">
        <v>46</v>
      </c>
    </row>
    <row r="46" spans="1:15" x14ac:dyDescent="0.3">
      <c r="A46" s="24" t="s">
        <v>142</v>
      </c>
      <c r="B46" s="28" t="s">
        <v>104</v>
      </c>
    </row>
    <row r="47" spans="1:15" x14ac:dyDescent="0.3">
      <c r="A47" s="24" t="s">
        <v>143</v>
      </c>
      <c r="B47" s="28" t="s">
        <v>123</v>
      </c>
    </row>
    <row r="48" spans="1:15" x14ac:dyDescent="0.3">
      <c r="A48" s="24"/>
    </row>
    <row r="49" spans="1:2" x14ac:dyDescent="0.3">
      <c r="A49" s="24" t="s">
        <v>127</v>
      </c>
      <c r="B49" s="2" t="s">
        <v>13</v>
      </c>
    </row>
    <row r="50" spans="1:2" x14ac:dyDescent="0.3">
      <c r="A50" s="24" t="s">
        <v>136</v>
      </c>
      <c r="B50" s="2" t="s">
        <v>103</v>
      </c>
    </row>
  </sheetData>
  <sortState ref="T3:W24">
    <sortCondition ref="T3"/>
  </sortState>
  <pageMargins left="0.7" right="0.7" top="0.78740157499999996" bottom="0.78740157499999996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C119"/>
  <sheetViews>
    <sheetView zoomScaleNormal="100" workbookViewId="0">
      <selection sqref="A1:AZ1"/>
    </sheetView>
  </sheetViews>
  <sheetFormatPr defaultColWidth="8.88671875" defaultRowHeight="13.8" outlineLevelCol="1" x14ac:dyDescent="0.3"/>
  <cols>
    <col min="1" max="1" width="1.33203125" style="18" customWidth="1"/>
    <col min="2" max="2" width="30.44140625" style="118" customWidth="1"/>
    <col min="3" max="3" width="1.109375" style="78" customWidth="1"/>
    <col min="4" max="4" width="1" style="78" customWidth="1"/>
    <col min="5" max="6" width="9.5546875" style="78" customWidth="1"/>
    <col min="7" max="9" width="0.88671875" style="78" customWidth="1"/>
    <col min="10" max="11" width="9.44140625" style="78" customWidth="1"/>
    <col min="12" max="14" width="0.88671875" style="78" customWidth="1"/>
    <col min="15" max="16" width="9.44140625" style="78" customWidth="1"/>
    <col min="17" max="19" width="0.88671875" style="78" customWidth="1"/>
    <col min="20" max="21" width="9.44140625" style="78" customWidth="1"/>
    <col min="22" max="24" width="0.88671875" style="78" customWidth="1"/>
    <col min="25" max="26" width="9.44140625" style="78" customWidth="1"/>
    <col min="27" max="29" width="0.88671875" style="78" customWidth="1"/>
    <col min="30" max="31" width="9.44140625" style="78" customWidth="1"/>
    <col min="32" max="34" width="0.88671875" style="78" customWidth="1"/>
    <col min="35" max="36" width="9.44140625" style="78" customWidth="1"/>
    <col min="37" max="39" width="0.88671875" style="78" customWidth="1"/>
    <col min="40" max="41" width="9.44140625" style="78" customWidth="1"/>
    <col min="42" max="44" width="0.88671875" style="78" customWidth="1"/>
    <col min="45" max="46" width="9.44140625" style="78" customWidth="1"/>
    <col min="47" max="49" width="0.88671875" style="78" customWidth="1"/>
    <col min="50" max="51" width="9.44140625" style="78" customWidth="1"/>
    <col min="52" max="52" width="1" style="78" customWidth="1"/>
    <col min="53" max="53" width="3.109375" style="78" customWidth="1"/>
    <col min="54" max="54" width="8.88671875" style="18" hidden="1" customWidth="1" outlineLevel="1"/>
    <col min="55" max="55" width="8.88671875" style="18" collapsed="1"/>
    <col min="56" max="16384" width="8.88671875" style="18"/>
  </cols>
  <sheetData>
    <row r="1" spans="1:54" s="3" customFormat="1" ht="33.75" customHeight="1" x14ac:dyDescent="0.3">
      <c r="A1" s="336" t="str">
        <f>NAZEV</f>
        <v>R E G I O N E M   O R L I C K A   L A N Š K R O U N   2 0 1 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B1" s="244" t="str">
        <f ca="1" xml:space="preserve"> "AFTER" &amp;RIGHT(B3,1)</f>
        <v>AFTER1</v>
      </c>
    </row>
    <row r="2" spans="1:54" s="3" customFormat="1" ht="15.6" x14ac:dyDescent="0.3">
      <c r="B2" s="337" t="str">
        <f>PODTITUL</f>
        <v>29. ročník mezinárodního cyklistického závodu juniorů / 29th edition of international cycling race of juniors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  <c r="AX2" s="337"/>
      <c r="AY2" s="337"/>
      <c r="AZ2" s="337"/>
    </row>
    <row r="3" spans="1:54" s="3" customFormat="1" ht="18" x14ac:dyDescent="0.35">
      <c r="B3" s="30" t="str">
        <f ca="1">MID(CELL("filename",A1),FIND("]",CELL("filename",A1))+1,256)</f>
        <v>RE1</v>
      </c>
      <c r="D3" s="36"/>
      <c r="F3" s="338" t="str">
        <f ca="1">INDIRECT("POET"&amp;(RIGHT(B3,1)))</f>
        <v>po 1. etapě / after 1st Stage</v>
      </c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18"/>
      <c r="AU3" s="18"/>
      <c r="AV3" s="18"/>
      <c r="AW3" s="18"/>
      <c r="AX3" s="18"/>
      <c r="AY3" s="18"/>
      <c r="AZ3" s="59" t="str">
        <f>"Com.no.: 9/" &amp; NOOFLISTS</f>
        <v>Com.no.: 9/33</v>
      </c>
      <c r="BB3" s="245"/>
    </row>
    <row r="4" spans="1:54" s="3" customFormat="1" x14ac:dyDescent="0.3">
      <c r="B4" s="120" t="str">
        <f ca="1">"Datum / Date: "&amp;TEXT(INDIRECT("DATUM"&amp;(RIGHT(B3,1))),"dd.mm.rrrr")</f>
        <v>Datum / Date: 07.08.2015</v>
      </c>
      <c r="D4" s="36"/>
      <c r="O4" s="18"/>
      <c r="P4" s="15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F4" s="59" t="e">
        <f>"Místo konání / Place: "&amp;CTRL!#REF!&amp;""</f>
        <v>#REF!</v>
      </c>
      <c r="AG4" s="59"/>
      <c r="AH4" s="18"/>
      <c r="AI4" s="18"/>
      <c r="AJ4" s="18"/>
      <c r="AK4" s="18"/>
      <c r="AL4" s="59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Z4" s="59" t="str">
        <f>"Místo konání / Place: "&amp; MISTO</f>
        <v>Místo konání / Place: Lanškroun (CZE)</v>
      </c>
      <c r="BA4" s="59"/>
      <c r="BB4" s="157"/>
    </row>
    <row r="5" spans="1:54" s="3" customFormat="1" ht="21" x14ac:dyDescent="0.3">
      <c r="B5" s="339" t="str">
        <f>VLIST</f>
        <v>Výsledková listina / Result</v>
      </c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  <c r="AQ5" s="339"/>
      <c r="AR5" s="339"/>
      <c r="AS5" s="339"/>
      <c r="AT5" s="339"/>
      <c r="AU5" s="339"/>
      <c r="AV5" s="339"/>
      <c r="AW5" s="339"/>
      <c r="AX5" s="339"/>
      <c r="AY5" s="339"/>
      <c r="AZ5" s="339"/>
    </row>
    <row r="6" spans="1:54" s="3" customFormat="1" ht="9" customHeight="1" x14ac:dyDescent="0.3">
      <c r="D6" s="36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</row>
    <row r="7" spans="1:54" ht="12.9" customHeight="1" x14ac:dyDescent="0.3">
      <c r="B7" s="37" t="s">
        <v>4</v>
      </c>
      <c r="C7" s="37"/>
      <c r="D7" s="37"/>
      <c r="E7" s="37" t="s">
        <v>149</v>
      </c>
      <c r="F7" s="37" t="s">
        <v>150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I7" s="284"/>
      <c r="AJ7" s="284"/>
      <c r="AK7" s="284"/>
      <c r="AL7" s="284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</row>
    <row r="8" spans="1:54" ht="12.9" customHeight="1" x14ac:dyDescent="0.3">
      <c r="B8" s="246"/>
      <c r="C8" s="246"/>
      <c r="D8" s="246"/>
      <c r="E8" s="378" t="s">
        <v>151</v>
      </c>
      <c r="F8" s="378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</row>
    <row r="9" spans="1:54" ht="9.9" customHeight="1" x14ac:dyDescent="0.3">
      <c r="B9" s="38" t="s">
        <v>14</v>
      </c>
      <c r="C9" s="38"/>
      <c r="D9" s="38"/>
      <c r="E9" s="247" t="s">
        <v>152</v>
      </c>
      <c r="F9" s="247" t="s">
        <v>153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</row>
    <row r="10" spans="1:54" ht="4.5" customHeight="1" x14ac:dyDescent="0.3"/>
    <row r="11" spans="1:54" ht="3" customHeight="1" x14ac:dyDescent="0.3">
      <c r="B11" s="248"/>
      <c r="D11" s="249"/>
      <c r="E11" s="250"/>
      <c r="F11" s="250"/>
      <c r="G11" s="251"/>
      <c r="I11" s="249"/>
      <c r="J11" s="250"/>
      <c r="K11" s="250"/>
      <c r="L11" s="251"/>
      <c r="N11" s="249"/>
      <c r="O11" s="250"/>
      <c r="P11" s="250"/>
      <c r="Q11" s="251"/>
      <c r="T11" s="250"/>
      <c r="U11" s="250"/>
      <c r="V11" s="251"/>
      <c r="X11" s="249"/>
      <c r="Y11" s="250"/>
      <c r="Z11" s="250"/>
      <c r="AA11" s="251"/>
      <c r="AC11" s="249"/>
      <c r="AD11" s="250"/>
      <c r="AE11" s="250"/>
      <c r="AF11" s="251"/>
      <c r="AG11" s="250"/>
      <c r="AH11" s="249"/>
      <c r="AI11" s="250"/>
      <c r="AJ11" s="250"/>
      <c r="AK11" s="251"/>
      <c r="AL11" s="250"/>
      <c r="AM11" s="249"/>
      <c r="AN11" s="250"/>
      <c r="AO11" s="250"/>
      <c r="AP11" s="251"/>
      <c r="AR11" s="249"/>
      <c r="AS11" s="250"/>
      <c r="AT11" s="250"/>
      <c r="AU11" s="251"/>
      <c r="AW11" s="249"/>
      <c r="AX11" s="250"/>
      <c r="AY11" s="250"/>
      <c r="AZ11" s="251"/>
    </row>
    <row r="12" spans="1:54" ht="18.75" customHeight="1" x14ac:dyDescent="0.3">
      <c r="B12" s="379" t="s">
        <v>208</v>
      </c>
      <c r="C12" s="252"/>
      <c r="D12" s="253"/>
      <c r="E12" s="254">
        <v>1</v>
      </c>
      <c r="F12" s="255">
        <f ca="1">VLOOKUP(E12,INDIRECT($BB$1),12,0)</f>
        <v>106</v>
      </c>
      <c r="G12" s="256"/>
      <c r="I12" s="253"/>
      <c r="J12" s="254">
        <v>2</v>
      </c>
      <c r="K12" s="255">
        <f ca="1">VLOOKUP(J12,INDIRECT($BB$1),12,0)</f>
        <v>2</v>
      </c>
      <c r="L12" s="256"/>
      <c r="N12" s="253"/>
      <c r="O12" s="254">
        <v>3</v>
      </c>
      <c r="P12" s="255">
        <f ca="1">VLOOKUP(O12,INDIRECT($BB$1),12,0)</f>
        <v>115</v>
      </c>
      <c r="Q12" s="256"/>
      <c r="T12" s="254">
        <v>4</v>
      </c>
      <c r="U12" s="255">
        <f ca="1">VLOOKUP(T12,INDIRECT($BB$1),12,0)</f>
        <v>48</v>
      </c>
      <c r="V12" s="256"/>
      <c r="X12" s="253"/>
      <c r="Y12" s="254">
        <v>5</v>
      </c>
      <c r="Z12" s="255">
        <f ca="1">VLOOKUP(Y12,INDIRECT($BB$1),12,0)</f>
        <v>117</v>
      </c>
      <c r="AA12" s="256"/>
      <c r="AC12" s="253"/>
      <c r="AD12" s="254">
        <v>6</v>
      </c>
      <c r="AE12" s="255">
        <f ca="1">VLOOKUP(AD12,INDIRECT($BB$1),12,0)</f>
        <v>51</v>
      </c>
      <c r="AF12" s="256"/>
      <c r="AG12" s="118"/>
      <c r="AH12" s="253"/>
      <c r="AI12" s="254">
        <v>7</v>
      </c>
      <c r="AJ12" s="255">
        <f ca="1">VLOOKUP(AI12,INDIRECT($BB$1),12,0)</f>
        <v>113</v>
      </c>
      <c r="AK12" s="256"/>
      <c r="AL12" s="118"/>
      <c r="AM12" s="253"/>
      <c r="AN12" s="254">
        <v>8</v>
      </c>
      <c r="AO12" s="255">
        <f ca="1">VLOOKUP(AN12,INDIRECT($BB$1),12,0)</f>
        <v>28</v>
      </c>
      <c r="AP12" s="256"/>
      <c r="AR12" s="253"/>
      <c r="AS12" s="254"/>
      <c r="AT12" s="255"/>
      <c r="AU12" s="256"/>
      <c r="AW12" s="253"/>
      <c r="AX12" s="254"/>
      <c r="AY12" s="255"/>
      <c r="AZ12" s="256"/>
    </row>
    <row r="13" spans="1:54" ht="12.15" customHeight="1" x14ac:dyDescent="0.3">
      <c r="B13" s="379"/>
      <c r="C13" s="252"/>
      <c r="D13" s="253"/>
      <c r="E13" s="380" t="str">
        <f>VLOOKUP(E12,STARTOVKA,3,0)</f>
        <v>AMBROSIUS Carlos</v>
      </c>
      <c r="F13" s="380"/>
      <c r="G13" s="257"/>
      <c r="H13" s="258"/>
      <c r="I13" s="259"/>
      <c r="J13" s="380" t="str">
        <f>VLOOKUP(J12,STARTOVKA,3,0)</f>
        <v>BERAN Andy</v>
      </c>
      <c r="K13" s="380"/>
      <c r="L13" s="257"/>
      <c r="M13" s="258"/>
      <c r="N13" s="259"/>
      <c r="O13" s="380" t="str">
        <f>VLOOKUP(O12,STARTOVKA,3,0)</f>
        <v>CARMESIN Johannes</v>
      </c>
      <c r="P13" s="380"/>
      <c r="Q13" s="257"/>
      <c r="R13" s="258"/>
      <c r="S13" s="258"/>
      <c r="T13" s="380" t="str">
        <f>VLOOKUP(T12,STARTOVKA,3,0)</f>
        <v>MÜLLER Tom</v>
      </c>
      <c r="U13" s="380"/>
      <c r="V13" s="257"/>
      <c r="W13" s="258"/>
      <c r="X13" s="259"/>
      <c r="Y13" s="380" t="str">
        <f>VLOOKUP(Y12,STARTOVKA,3,0)</f>
        <v>RUDYS Paul</v>
      </c>
      <c r="Z13" s="380"/>
      <c r="AA13" s="257"/>
      <c r="AB13" s="258"/>
      <c r="AC13" s="259"/>
      <c r="AD13" s="380" t="str">
        <f>VLOOKUP(AD12,STARTOVKA,3,0)</f>
        <v>SCHNEIDER William</v>
      </c>
      <c r="AE13" s="380"/>
      <c r="AF13" s="256"/>
      <c r="AG13" s="118"/>
      <c r="AH13" s="259"/>
      <c r="AI13" s="380" t="str">
        <f>VLOOKUP(AI12,STARTOVKA,3,0)</f>
        <v>WEBER Philip</v>
      </c>
      <c r="AJ13" s="380"/>
      <c r="AK13" s="257"/>
      <c r="AL13" s="118"/>
      <c r="AM13" s="259"/>
      <c r="AN13" s="380" t="str">
        <f>VLOOKUP(AN12,STARTOVKA,3,0)</f>
        <v>ZETZSCHE Till</v>
      </c>
      <c r="AO13" s="380"/>
      <c r="AP13" s="257"/>
      <c r="AQ13" s="258"/>
      <c r="AR13" s="259"/>
      <c r="AS13" s="380"/>
      <c r="AT13" s="380"/>
      <c r="AU13" s="257"/>
      <c r="AV13" s="258"/>
      <c r="AW13" s="259"/>
      <c r="AX13" s="380"/>
      <c r="AY13" s="380"/>
      <c r="AZ13" s="256"/>
    </row>
    <row r="14" spans="1:54" ht="18.75" customHeight="1" x14ac:dyDescent="0.3">
      <c r="B14" s="379"/>
      <c r="C14" s="252"/>
      <c r="D14" s="253"/>
      <c r="E14" s="260">
        <f ca="1">VLOOKUP(E12,INDIRECT($BB$1),8,0)</f>
        <v>8.7592592592592597E-2</v>
      </c>
      <c r="F14" s="261">
        <f ca="1">VLOOKUP(E12,INDIRECT($BB$1),9,0)</f>
        <v>9.4560185185185164E-3</v>
      </c>
      <c r="G14" s="256"/>
      <c r="I14" s="253"/>
      <c r="J14" s="260">
        <f ca="1">VLOOKUP(J12,INDIRECT($BB$1),8,0)</f>
        <v>7.8182870370370375E-2</v>
      </c>
      <c r="K14" s="261">
        <f ca="1">VLOOKUP(J12,INDIRECT($BB$1),9,0)</f>
        <v>4.6296296296294281E-5</v>
      </c>
      <c r="L14" s="256"/>
      <c r="N14" s="253"/>
      <c r="O14" s="260">
        <f ca="1">VLOOKUP(O12,INDIRECT($BB$1),8,0)</f>
        <v>8.9189814814814819E-2</v>
      </c>
      <c r="P14" s="261">
        <f ca="1">VLOOKUP(O12,INDIRECT($BB$1),9,0)</f>
        <v>1.1053240740740738E-2</v>
      </c>
      <c r="Q14" s="256"/>
      <c r="T14" s="260">
        <f ca="1">VLOOKUP(T12,INDIRECT($BB$1),8,0)</f>
        <v>7.8252314814814816E-2</v>
      </c>
      <c r="U14" s="261">
        <f ca="1">VLOOKUP(T12,INDIRECT($BB$1),9,0)</f>
        <v>1.157407407407357E-4</v>
      </c>
      <c r="V14" s="256"/>
      <c r="X14" s="253"/>
      <c r="Y14" s="260">
        <f ca="1">VLOOKUP(Y12,INDIRECT($BB$1),8,0)</f>
        <v>8.9363425925925929E-2</v>
      </c>
      <c r="Z14" s="261">
        <f ca="1">VLOOKUP(Y12,INDIRECT($BB$1),9,0)</f>
        <v>1.1226851851851849E-2</v>
      </c>
      <c r="AA14" s="256"/>
      <c r="AC14" s="253"/>
      <c r="AD14" s="260">
        <f ca="1">VLOOKUP(AD12,INDIRECT($BB$1),8,0)</f>
        <v>7.8252314814814816E-2</v>
      </c>
      <c r="AE14" s="261">
        <f ca="1">VLOOKUP(AD12,INDIRECT($BB$1),9,0)</f>
        <v>1.157407407407357E-4</v>
      </c>
      <c r="AF14" s="256"/>
      <c r="AG14" s="118"/>
      <c r="AH14" s="253"/>
      <c r="AI14" s="260">
        <f ca="1">VLOOKUP(AI12,INDIRECT($BB$1),8,0)</f>
        <v>8.9189814814814819E-2</v>
      </c>
      <c r="AJ14" s="261">
        <f ca="1">VLOOKUP(AI12,INDIRECT($BB$1),9,0)</f>
        <v>1.1053240740740738E-2</v>
      </c>
      <c r="AK14" s="256"/>
      <c r="AL14" s="118"/>
      <c r="AM14" s="253"/>
      <c r="AN14" s="260">
        <f ca="1">VLOOKUP(AN12,INDIRECT($BB$1),8,0)</f>
        <v>7.8252314814814816E-2</v>
      </c>
      <c r="AO14" s="261">
        <f ca="1">VLOOKUP(AN12,INDIRECT($BB$1),9,0)</f>
        <v>1.157407407407357E-4</v>
      </c>
      <c r="AP14" s="256"/>
      <c r="AR14" s="253"/>
      <c r="AS14" s="260"/>
      <c r="AT14" s="261"/>
      <c r="AU14" s="256"/>
      <c r="AW14" s="253"/>
      <c r="AX14" s="260"/>
      <c r="AY14" s="261"/>
      <c r="AZ14" s="256"/>
    </row>
    <row r="15" spans="1:54" ht="3" customHeight="1" x14ac:dyDescent="0.3">
      <c r="B15" s="262"/>
      <c r="D15" s="263"/>
      <c r="E15" s="264"/>
      <c r="F15" s="264"/>
      <c r="G15" s="265"/>
      <c r="I15" s="263"/>
      <c r="J15" s="264"/>
      <c r="K15" s="264"/>
      <c r="L15" s="265"/>
      <c r="N15" s="263"/>
      <c r="O15" s="264"/>
      <c r="P15" s="264"/>
      <c r="Q15" s="265"/>
      <c r="T15" s="264"/>
      <c r="U15" s="264"/>
      <c r="V15" s="265"/>
      <c r="X15" s="263"/>
      <c r="Y15" s="264"/>
      <c r="Z15" s="264"/>
      <c r="AA15" s="265"/>
      <c r="AC15" s="263"/>
      <c r="AD15" s="264"/>
      <c r="AE15" s="264"/>
      <c r="AF15" s="265"/>
      <c r="AG15" s="264"/>
      <c r="AH15" s="263"/>
      <c r="AI15" s="264"/>
      <c r="AJ15" s="264"/>
      <c r="AK15" s="265"/>
      <c r="AL15" s="264"/>
      <c r="AM15" s="263"/>
      <c r="AN15" s="264"/>
      <c r="AO15" s="264"/>
      <c r="AP15" s="265"/>
      <c r="AR15" s="263"/>
      <c r="AS15" s="264"/>
      <c r="AT15" s="264"/>
      <c r="AU15" s="265"/>
      <c r="AW15" s="263"/>
      <c r="AX15" s="264"/>
      <c r="AY15" s="264"/>
      <c r="AZ15" s="265"/>
    </row>
    <row r="16" spans="1:54" ht="3" customHeight="1" x14ac:dyDescent="0.3"/>
    <row r="17" spans="2:52" ht="3" customHeight="1" x14ac:dyDescent="0.3">
      <c r="B17" s="248"/>
      <c r="D17" s="249"/>
      <c r="E17" s="250"/>
      <c r="F17" s="250"/>
      <c r="G17" s="251"/>
      <c r="I17" s="249"/>
      <c r="J17" s="250"/>
      <c r="K17" s="250"/>
      <c r="L17" s="251"/>
      <c r="N17" s="249"/>
      <c r="O17" s="250"/>
      <c r="P17" s="250"/>
      <c r="Q17" s="251"/>
      <c r="T17" s="250"/>
      <c r="U17" s="250"/>
      <c r="V17" s="251"/>
      <c r="X17" s="249"/>
      <c r="Y17" s="250"/>
      <c r="Z17" s="250"/>
      <c r="AA17" s="251"/>
      <c r="AC17" s="249"/>
      <c r="AD17" s="250"/>
      <c r="AE17" s="250"/>
      <c r="AF17" s="251"/>
      <c r="AG17" s="250"/>
      <c r="AH17" s="249"/>
      <c r="AI17" s="250"/>
      <c r="AJ17" s="250"/>
      <c r="AK17" s="251"/>
      <c r="AL17" s="250"/>
      <c r="AM17" s="249"/>
      <c r="AN17" s="250"/>
      <c r="AO17" s="250"/>
      <c r="AP17" s="251"/>
      <c r="AR17" s="249"/>
      <c r="AS17" s="250"/>
      <c r="AT17" s="250"/>
      <c r="AU17" s="251"/>
      <c r="AW17" s="249"/>
      <c r="AX17" s="250"/>
      <c r="AY17" s="250"/>
      <c r="AZ17" s="251"/>
    </row>
    <row r="18" spans="2:52" ht="18.75" customHeight="1" x14ac:dyDescent="0.3">
      <c r="B18" s="379" t="s">
        <v>499</v>
      </c>
      <c r="C18" s="252"/>
      <c r="D18" s="253"/>
      <c r="E18" s="254">
        <v>11</v>
      </c>
      <c r="F18" s="255">
        <f ca="1">VLOOKUP(E18,INDIRECT($BB$1),12,0)</f>
        <v>12</v>
      </c>
      <c r="G18" s="256"/>
      <c r="I18" s="253"/>
      <c r="J18" s="254">
        <v>12</v>
      </c>
      <c r="K18" s="255">
        <f ca="1">VLOOKUP(J18,INDIRECT($BB$1),12,0)</f>
        <v>63</v>
      </c>
      <c r="L18" s="256"/>
      <c r="N18" s="253"/>
      <c r="O18" s="254">
        <v>13</v>
      </c>
      <c r="P18" s="255">
        <f ca="1">VLOOKUP(O18,INDIRECT($BB$1),12,0)</f>
        <v>49</v>
      </c>
      <c r="Q18" s="256"/>
      <c r="T18" s="254">
        <v>14</v>
      </c>
      <c r="U18" s="255">
        <f ca="1">VLOOKUP(T18,INDIRECT($BB$1),12,0)</f>
        <v>70</v>
      </c>
      <c r="V18" s="256"/>
      <c r="X18" s="253"/>
      <c r="Y18" s="254">
        <v>15</v>
      </c>
      <c r="Z18" s="255">
        <f ca="1">VLOOKUP(Y18,INDIRECT($BB$1),12,0)</f>
        <v>47</v>
      </c>
      <c r="AA18" s="256"/>
      <c r="AC18" s="253"/>
      <c r="AD18" s="254">
        <v>16</v>
      </c>
      <c r="AE18" s="255">
        <f ca="1">VLOOKUP(AD18,INDIRECT($BB$1),12,0)</f>
        <v>71</v>
      </c>
      <c r="AF18" s="256"/>
      <c r="AG18" s="118"/>
      <c r="AH18" s="253"/>
      <c r="AI18" s="254">
        <v>17</v>
      </c>
      <c r="AJ18" s="255">
        <f ca="1">VLOOKUP(AI18,INDIRECT($BB$1),12,0)</f>
        <v>123</v>
      </c>
      <c r="AK18" s="256"/>
      <c r="AL18" s="118"/>
      <c r="AM18" s="253"/>
      <c r="AN18" s="254">
        <v>18</v>
      </c>
      <c r="AO18" s="255">
        <f ca="1">VLOOKUP(AN18,INDIRECT($BB$1),12,0)</f>
        <v>52</v>
      </c>
      <c r="AP18" s="256"/>
      <c r="AR18" s="253"/>
      <c r="AS18" s="254">
        <v>19</v>
      </c>
      <c r="AT18" s="255">
        <f ca="1">VLOOKUP(AS18,INDIRECT($BB$1),12,0)</f>
        <v>121</v>
      </c>
      <c r="AU18" s="256"/>
      <c r="AW18" s="253"/>
      <c r="AX18" s="254">
        <v>20</v>
      </c>
      <c r="AY18" s="255">
        <f ca="1">VLOOKUP(AX18,INDIRECT($BB$1),12,0)</f>
        <v>107</v>
      </c>
      <c r="AZ18" s="256"/>
    </row>
    <row r="19" spans="2:52" ht="12.15" customHeight="1" x14ac:dyDescent="0.3">
      <c r="B19" s="379"/>
      <c r="C19" s="252"/>
      <c r="D19" s="253"/>
      <c r="E19" s="380" t="str">
        <f>VLOOKUP(E18,STARTOVKA,3,0)</f>
        <v>SCHMIEDEL Sebastian</v>
      </c>
      <c r="F19" s="380"/>
      <c r="G19" s="257"/>
      <c r="H19" s="258"/>
      <c r="I19" s="259"/>
      <c r="J19" s="380" t="str">
        <f>VLOOKUP(J18,STARTOVKA,3,0)</f>
        <v>MAGDEBURG Tobias</v>
      </c>
      <c r="K19" s="380"/>
      <c r="L19" s="257"/>
      <c r="M19" s="258"/>
      <c r="N19" s="259"/>
      <c r="O19" s="380" t="str">
        <f>VLOOKUP(O18,STARTOVKA,3,0)</f>
        <v>LINTZEL Philip</v>
      </c>
      <c r="P19" s="380"/>
      <c r="Q19" s="257"/>
      <c r="R19" s="258"/>
      <c r="S19" s="258"/>
      <c r="T19" s="380" t="str">
        <f>VLOOKUP(T18,STARTOVKA,3,0)</f>
        <v>WITTMANN Hannes</v>
      </c>
      <c r="U19" s="380"/>
      <c r="V19" s="257"/>
      <c r="W19" s="258"/>
      <c r="X19" s="259"/>
      <c r="Y19" s="380" t="str">
        <f>VLOOKUP(Y18,STARTOVKA,3,0)</f>
        <v>DÖPEL Robin</v>
      </c>
      <c r="Z19" s="380"/>
      <c r="AA19" s="257"/>
      <c r="AB19" s="258"/>
      <c r="AC19" s="259"/>
      <c r="AD19" s="380" t="str">
        <f>VLOOKUP(AD18,STARTOVKA,3,0)</f>
        <v>KÄßMANN Fabian</v>
      </c>
      <c r="AE19" s="380"/>
      <c r="AF19" s="256"/>
      <c r="AG19" s="118"/>
      <c r="AH19" s="259"/>
      <c r="AI19" s="380" t="str">
        <f>VLOOKUP(AI18,STARTOVKA,3,0)</f>
        <v>ASCHENBRENNER Michel</v>
      </c>
      <c r="AJ19" s="380"/>
      <c r="AK19" s="257"/>
      <c r="AL19" s="118"/>
      <c r="AM19" s="259"/>
      <c r="AN19" s="380" t="str">
        <f>VLOOKUP(AN18,STARTOVKA,3,0)</f>
        <v>PAKALSKI Henrik</v>
      </c>
      <c r="AO19" s="380"/>
      <c r="AP19" s="257"/>
      <c r="AQ19" s="258"/>
      <c r="AR19" s="259"/>
      <c r="AS19" s="380" t="str">
        <f>VLOOKUP(AS18,STARTOVKA,3,0)</f>
        <v>WELLENDORF Lukas</v>
      </c>
      <c r="AT19" s="380"/>
      <c r="AU19" s="257"/>
      <c r="AV19" s="258"/>
      <c r="AW19" s="259"/>
      <c r="AX19" s="380" t="str">
        <f>VLOOKUP(AX18,STARTOVKA,3,0)</f>
        <v>BANZER Johannes</v>
      </c>
      <c r="AY19" s="380"/>
      <c r="AZ19" s="256"/>
    </row>
    <row r="20" spans="2:52" ht="18.75" customHeight="1" x14ac:dyDescent="0.3">
      <c r="B20" s="379"/>
      <c r="C20" s="252"/>
      <c r="D20" s="253"/>
      <c r="E20" s="260">
        <f ca="1">VLOOKUP(E18,INDIRECT($BB$1),8,0)</f>
        <v>7.8252314814814816E-2</v>
      </c>
      <c r="F20" s="261">
        <f ca="1">VLOOKUP(E18,INDIRECT($BB$1),9,0)</f>
        <v>1.157407407407357E-4</v>
      </c>
      <c r="G20" s="256"/>
      <c r="I20" s="253"/>
      <c r="J20" s="260">
        <f ca="1">VLOOKUP(J18,INDIRECT($BB$1),8,0)</f>
        <v>7.8252314814814816E-2</v>
      </c>
      <c r="K20" s="261">
        <f ca="1">VLOOKUP(J18,INDIRECT($BB$1),9,0)</f>
        <v>1.157407407407357E-4</v>
      </c>
      <c r="L20" s="256"/>
      <c r="N20" s="253"/>
      <c r="O20" s="260">
        <f ca="1">VLOOKUP(O18,INDIRECT($BB$1),8,0)</f>
        <v>7.8252314814814816E-2</v>
      </c>
      <c r="P20" s="261">
        <f ca="1">VLOOKUP(O18,INDIRECT($BB$1),9,0)</f>
        <v>1.157407407407357E-4</v>
      </c>
      <c r="Q20" s="256"/>
      <c r="T20" s="260">
        <f ca="1">VLOOKUP(T18,INDIRECT($BB$1),8,0)</f>
        <v>7.856481481481481E-2</v>
      </c>
      <c r="U20" s="261">
        <f ca="1">VLOOKUP(T18,INDIRECT($BB$1),9,0)</f>
        <v>4.2824074074072904E-4</v>
      </c>
      <c r="V20" s="256"/>
      <c r="X20" s="253"/>
      <c r="Y20" s="260">
        <f ca="1">VLOOKUP(Y18,INDIRECT($BB$1),8,0)</f>
        <v>7.8252314814814816E-2</v>
      </c>
      <c r="Z20" s="261">
        <f ca="1">VLOOKUP(Y18,INDIRECT($BB$1),9,0)</f>
        <v>1.157407407407357E-4</v>
      </c>
      <c r="AA20" s="256"/>
      <c r="AC20" s="253"/>
      <c r="AD20" s="260">
        <f ca="1">VLOOKUP(AD18,INDIRECT($BB$1),8,0)</f>
        <v>7.856481481481481E-2</v>
      </c>
      <c r="AE20" s="261">
        <f ca="1">VLOOKUP(AD18,INDIRECT($BB$1),9,0)</f>
        <v>4.2824074074072904E-4</v>
      </c>
      <c r="AF20" s="256"/>
      <c r="AG20" s="118"/>
      <c r="AH20" s="253"/>
      <c r="AI20" s="260">
        <f ca="1">VLOOKUP(AI18,INDIRECT($BB$1),8,0)</f>
        <v>9.1921296296296293E-2</v>
      </c>
      <c r="AJ20" s="261">
        <f ca="1">VLOOKUP(AI18,INDIRECT($BB$1),9,0)</f>
        <v>1.3784722222222212E-2</v>
      </c>
      <c r="AK20" s="256"/>
      <c r="AL20" s="118"/>
      <c r="AM20" s="253"/>
      <c r="AN20" s="260">
        <f ca="1">VLOOKUP(AN18,INDIRECT($BB$1),8,0)</f>
        <v>7.8252314814814816E-2</v>
      </c>
      <c r="AO20" s="261">
        <f ca="1">VLOOKUP(AN18,INDIRECT($BB$1),9,0)</f>
        <v>1.157407407407357E-4</v>
      </c>
      <c r="AP20" s="256"/>
      <c r="AR20" s="253"/>
      <c r="AS20" s="260">
        <f ca="1">VLOOKUP(AS18,INDIRECT($BB$1),8,0)</f>
        <v>9.1921296296296293E-2</v>
      </c>
      <c r="AT20" s="261">
        <f ca="1">VLOOKUP(AS18,INDIRECT($BB$1),9,0)</f>
        <v>1.3784722222222212E-2</v>
      </c>
      <c r="AU20" s="256"/>
      <c r="AW20" s="253"/>
      <c r="AX20" s="260">
        <f ca="1">VLOOKUP(AX18,INDIRECT($BB$1),8,0)</f>
        <v>8.8981481481481481E-2</v>
      </c>
      <c r="AY20" s="261">
        <f ca="1">VLOOKUP(AX18,INDIRECT($BB$1),9,0)</f>
        <v>1.08449074074074E-2</v>
      </c>
      <c r="AZ20" s="256"/>
    </row>
    <row r="21" spans="2:52" ht="3" customHeight="1" x14ac:dyDescent="0.3">
      <c r="B21" s="262"/>
      <c r="D21" s="263"/>
      <c r="E21" s="264"/>
      <c r="F21" s="264"/>
      <c r="G21" s="265"/>
      <c r="I21" s="263"/>
      <c r="J21" s="264"/>
      <c r="K21" s="264"/>
      <c r="L21" s="265"/>
      <c r="N21" s="263"/>
      <c r="O21" s="264"/>
      <c r="P21" s="264"/>
      <c r="Q21" s="265"/>
      <c r="T21" s="264"/>
      <c r="U21" s="264"/>
      <c r="V21" s="265"/>
      <c r="X21" s="263"/>
      <c r="Y21" s="264"/>
      <c r="Z21" s="264"/>
      <c r="AA21" s="265"/>
      <c r="AC21" s="263"/>
      <c r="AD21" s="264"/>
      <c r="AE21" s="264"/>
      <c r="AF21" s="265"/>
      <c r="AG21" s="264"/>
      <c r="AH21" s="263"/>
      <c r="AI21" s="264"/>
      <c r="AJ21" s="264"/>
      <c r="AK21" s="265"/>
      <c r="AL21" s="264"/>
      <c r="AM21" s="263"/>
      <c r="AN21" s="264"/>
      <c r="AO21" s="264"/>
      <c r="AP21" s="265"/>
      <c r="AR21" s="263"/>
      <c r="AS21" s="264"/>
      <c r="AT21" s="264"/>
      <c r="AU21" s="265"/>
      <c r="AW21" s="263"/>
      <c r="AX21" s="264"/>
      <c r="AY21" s="264"/>
      <c r="AZ21" s="265"/>
    </row>
    <row r="22" spans="2:52" ht="3" customHeight="1" x14ac:dyDescent="0.3"/>
    <row r="23" spans="2:52" ht="3" customHeight="1" x14ac:dyDescent="0.3">
      <c r="B23" s="248"/>
      <c r="D23" s="249"/>
      <c r="E23" s="250"/>
      <c r="F23" s="250"/>
      <c r="G23" s="251"/>
      <c r="I23" s="249"/>
      <c r="J23" s="250"/>
      <c r="K23" s="250"/>
      <c r="L23" s="251"/>
      <c r="N23" s="249"/>
      <c r="O23" s="250"/>
      <c r="P23" s="250"/>
      <c r="Q23" s="251"/>
      <c r="T23" s="250"/>
      <c r="U23" s="250"/>
      <c r="V23" s="251"/>
      <c r="X23" s="249"/>
      <c r="Y23" s="250"/>
      <c r="Z23" s="250"/>
      <c r="AA23" s="251"/>
      <c r="AC23" s="249"/>
      <c r="AD23" s="250"/>
      <c r="AE23" s="250"/>
      <c r="AF23" s="251"/>
      <c r="AG23" s="250"/>
      <c r="AH23" s="249"/>
      <c r="AI23" s="250"/>
      <c r="AJ23" s="250"/>
      <c r="AK23" s="251"/>
      <c r="AL23" s="250"/>
      <c r="AM23" s="249"/>
      <c r="AN23" s="250"/>
      <c r="AO23" s="250"/>
      <c r="AP23" s="251"/>
      <c r="AR23" s="249"/>
      <c r="AS23" s="250"/>
      <c r="AT23" s="250"/>
      <c r="AU23" s="251"/>
      <c r="AW23" s="249"/>
      <c r="AX23" s="250"/>
      <c r="AY23" s="250"/>
      <c r="AZ23" s="251"/>
    </row>
    <row r="24" spans="2:52" ht="18.75" customHeight="1" x14ac:dyDescent="0.3">
      <c r="B24" s="379" t="s">
        <v>244</v>
      </c>
      <c r="C24" s="252"/>
      <c r="D24" s="253"/>
      <c r="E24" s="254">
        <v>21</v>
      </c>
      <c r="F24" s="255">
        <f ca="1">VLOOKUP(E24,INDIRECT($BB$1),12,0)</f>
        <v>43</v>
      </c>
      <c r="G24" s="256"/>
      <c r="I24" s="253"/>
      <c r="J24" s="254">
        <v>22</v>
      </c>
      <c r="K24" s="255">
        <f ca="1">VLOOKUP(J24,INDIRECT($BB$1),12,0)</f>
        <v>75</v>
      </c>
      <c r="L24" s="256"/>
      <c r="N24" s="253"/>
      <c r="O24" s="254">
        <v>23</v>
      </c>
      <c r="P24" s="255">
        <f ca="1">VLOOKUP(O24,INDIRECT($BB$1),12,0)</f>
        <v>92</v>
      </c>
      <c r="Q24" s="256"/>
      <c r="T24" s="254">
        <v>24</v>
      </c>
      <c r="U24" s="255" t="str">
        <f ca="1">VLOOKUP(T24,INDIRECT($BB$1),12,0)</f>
        <v>DNF</v>
      </c>
      <c r="V24" s="256"/>
      <c r="X24" s="253"/>
      <c r="Y24" s="254">
        <v>25</v>
      </c>
      <c r="Z24" s="255" t="str">
        <f ca="1">VLOOKUP(Y24,INDIRECT($BB$1),12,0)</f>
        <v>DNF</v>
      </c>
      <c r="AA24" s="256"/>
      <c r="AC24" s="253"/>
      <c r="AD24" s="254">
        <v>26</v>
      </c>
      <c r="AE24" s="255" t="str">
        <f ca="1">VLOOKUP(AD24,INDIRECT($BB$1),12,0)</f>
        <v>DNF</v>
      </c>
      <c r="AF24" s="256"/>
      <c r="AG24" s="118"/>
      <c r="AH24" s="253"/>
      <c r="AI24" s="254">
        <v>27</v>
      </c>
      <c r="AJ24" s="255">
        <f ca="1">VLOOKUP(AI24,INDIRECT($BB$1),12,0)</f>
        <v>59</v>
      </c>
      <c r="AK24" s="256"/>
      <c r="AL24" s="118"/>
      <c r="AM24" s="253"/>
      <c r="AN24" s="254"/>
      <c r="AO24" s="255"/>
      <c r="AP24" s="256"/>
      <c r="AR24" s="253"/>
      <c r="AS24" s="254"/>
      <c r="AT24" s="255"/>
      <c r="AU24" s="256"/>
      <c r="AW24" s="253"/>
      <c r="AX24" s="254"/>
      <c r="AY24" s="255"/>
      <c r="AZ24" s="256"/>
    </row>
    <row r="25" spans="2:52" ht="12.15" customHeight="1" x14ac:dyDescent="0.3">
      <c r="B25" s="379"/>
      <c r="C25" s="252"/>
      <c r="D25" s="253"/>
      <c r="E25" s="380" t="str">
        <f>VLOOKUP(E24,STARTOVKA,3,0)</f>
        <v xml:space="preserve">KLEVETA Jakub </v>
      </c>
      <c r="F25" s="380"/>
      <c r="G25" s="257"/>
      <c r="H25" s="258"/>
      <c r="I25" s="259"/>
      <c r="J25" s="380" t="str">
        <f>VLOOKUP(J24,STARTOVKA,3,0)</f>
        <v xml:space="preserve">LAŠTŮVKA David </v>
      </c>
      <c r="K25" s="380"/>
      <c r="L25" s="257"/>
      <c r="M25" s="258"/>
      <c r="N25" s="259"/>
      <c r="O25" s="380" t="str">
        <f>VLOOKUP(O24,STARTOVKA,3,0)</f>
        <v xml:space="preserve">CINK Jan </v>
      </c>
      <c r="P25" s="380"/>
      <c r="Q25" s="257"/>
      <c r="R25" s="258"/>
      <c r="S25" s="258"/>
      <c r="T25" s="380" t="str">
        <f>VLOOKUP(T24,STARTOVKA,3,0)</f>
        <v xml:space="preserve">KLIMEK David </v>
      </c>
      <c r="U25" s="380"/>
      <c r="V25" s="257"/>
      <c r="W25" s="258"/>
      <c r="X25" s="259"/>
      <c r="Y25" s="380" t="str">
        <f>VLOOKUP(Y24,STARTOVKA,3,0)</f>
        <v xml:space="preserve">KMÍNEK Vojtěch </v>
      </c>
      <c r="Z25" s="380"/>
      <c r="AA25" s="257"/>
      <c r="AB25" s="258"/>
      <c r="AC25" s="259"/>
      <c r="AD25" s="380" t="str">
        <f>VLOOKUP(AD24,STARTOVKA,3,0)</f>
        <v xml:space="preserve">KUČERA Michal </v>
      </c>
      <c r="AE25" s="380"/>
      <c r="AF25" s="256"/>
      <c r="AG25" s="118"/>
      <c r="AH25" s="259"/>
      <c r="AI25" s="380" t="str">
        <f>VLOOKUP(AI24,STARTOVKA,3,0)</f>
        <v xml:space="preserve">ŠORM Jiří </v>
      </c>
      <c r="AJ25" s="380"/>
      <c r="AK25" s="257"/>
      <c r="AL25" s="118"/>
      <c r="AM25" s="259"/>
      <c r="AN25" s="380"/>
      <c r="AO25" s="380"/>
      <c r="AP25" s="257"/>
      <c r="AQ25" s="258"/>
      <c r="AR25" s="259"/>
      <c r="AS25" s="380"/>
      <c r="AT25" s="380"/>
      <c r="AU25" s="257"/>
      <c r="AV25" s="258"/>
      <c r="AW25" s="259"/>
      <c r="AX25" s="380"/>
      <c r="AY25" s="380"/>
      <c r="AZ25" s="256"/>
    </row>
    <row r="26" spans="2:52" ht="18.75" customHeight="1" x14ac:dyDescent="0.3">
      <c r="B26" s="379"/>
      <c r="C26" s="252"/>
      <c r="D26" s="253"/>
      <c r="E26" s="260">
        <f ca="1">VLOOKUP(E24,INDIRECT($BB$1),8,0)</f>
        <v>7.8252314814814816E-2</v>
      </c>
      <c r="F26" s="261">
        <f ca="1">VLOOKUP(E24,INDIRECT($BB$1),9,0)</f>
        <v>1.157407407407357E-4</v>
      </c>
      <c r="G26" s="256"/>
      <c r="I26" s="253"/>
      <c r="J26" s="260">
        <f ca="1">VLOOKUP(J24,INDIRECT($BB$1),8,0)</f>
        <v>7.856481481481481E-2</v>
      </c>
      <c r="K26" s="261">
        <f ca="1">VLOOKUP(J24,INDIRECT($BB$1),9,0)</f>
        <v>4.2824074074072904E-4</v>
      </c>
      <c r="L26" s="256"/>
      <c r="N26" s="253"/>
      <c r="O26" s="260">
        <f ca="1">VLOOKUP(O24,INDIRECT($BB$1),8,0)</f>
        <v>8.2812499999999997E-2</v>
      </c>
      <c r="P26" s="261">
        <f ca="1">VLOOKUP(O24,INDIRECT($BB$1),9,0)</f>
        <v>4.6759259259259167E-3</v>
      </c>
      <c r="Q26" s="256"/>
      <c r="T26" s="260" t="str">
        <f ca="1">VLOOKUP(T24,INDIRECT($BB$1),8,0)</f>
        <v>DNF</v>
      </c>
      <c r="U26" s="261" t="str">
        <f ca="1">VLOOKUP(T24,INDIRECT($BB$1),9,0)</f>
        <v>DNF</v>
      </c>
      <c r="V26" s="256"/>
      <c r="X26" s="253"/>
      <c r="Y26" s="260" t="str">
        <f ca="1">VLOOKUP(Y24,INDIRECT($BB$1),8,0)</f>
        <v>DNF</v>
      </c>
      <c r="Z26" s="261" t="str">
        <f ca="1">VLOOKUP(Y24,INDIRECT($BB$1),9,0)</f>
        <v>DNF</v>
      </c>
      <c r="AA26" s="256"/>
      <c r="AC26" s="253"/>
      <c r="AD26" s="260" t="str">
        <f ca="1">VLOOKUP(AD24,INDIRECT($BB$1),8,0)</f>
        <v>DNF</v>
      </c>
      <c r="AE26" s="261" t="str">
        <f ca="1">VLOOKUP(AD24,INDIRECT($BB$1),9,0)</f>
        <v>DNF</v>
      </c>
      <c r="AF26" s="256"/>
      <c r="AG26" s="118"/>
      <c r="AH26" s="253"/>
      <c r="AI26" s="260">
        <f ca="1">VLOOKUP(AI24,INDIRECT($BB$1),8,0)</f>
        <v>7.8252314814814816E-2</v>
      </c>
      <c r="AJ26" s="261">
        <f ca="1">VLOOKUP(AI24,INDIRECT($BB$1),9,0)</f>
        <v>1.157407407407357E-4</v>
      </c>
      <c r="AK26" s="256"/>
      <c r="AL26" s="118"/>
      <c r="AM26" s="253"/>
      <c r="AN26" s="260"/>
      <c r="AO26" s="261"/>
      <c r="AP26" s="256"/>
      <c r="AR26" s="253"/>
      <c r="AS26" s="260"/>
      <c r="AT26" s="261"/>
      <c r="AU26" s="256"/>
      <c r="AW26" s="253"/>
      <c r="AX26" s="260"/>
      <c r="AY26" s="261"/>
      <c r="AZ26" s="256"/>
    </row>
    <row r="27" spans="2:52" ht="3" customHeight="1" x14ac:dyDescent="0.3">
      <c r="B27" s="262"/>
      <c r="D27" s="263"/>
      <c r="E27" s="264"/>
      <c r="F27" s="264"/>
      <c r="G27" s="265"/>
      <c r="I27" s="263"/>
      <c r="J27" s="264"/>
      <c r="K27" s="264"/>
      <c r="L27" s="265"/>
      <c r="N27" s="263"/>
      <c r="O27" s="264"/>
      <c r="P27" s="264"/>
      <c r="Q27" s="265"/>
      <c r="T27" s="264"/>
      <c r="U27" s="264"/>
      <c r="V27" s="265"/>
      <c r="X27" s="263"/>
      <c r="Y27" s="264"/>
      <c r="Z27" s="264"/>
      <c r="AA27" s="265"/>
      <c r="AC27" s="263"/>
      <c r="AD27" s="264"/>
      <c r="AE27" s="264"/>
      <c r="AF27" s="265"/>
      <c r="AG27" s="264"/>
      <c r="AH27" s="263"/>
      <c r="AI27" s="264"/>
      <c r="AJ27" s="264"/>
      <c r="AK27" s="265"/>
      <c r="AL27" s="264"/>
      <c r="AM27" s="263"/>
      <c r="AN27" s="264"/>
      <c r="AO27" s="264"/>
      <c r="AP27" s="265"/>
      <c r="AR27" s="263"/>
      <c r="AS27" s="264"/>
      <c r="AT27" s="264"/>
      <c r="AU27" s="265"/>
      <c r="AW27" s="263"/>
      <c r="AX27" s="264"/>
      <c r="AY27" s="264"/>
      <c r="AZ27" s="265"/>
    </row>
    <row r="28" spans="2:52" ht="3" customHeight="1" x14ac:dyDescent="0.3"/>
    <row r="29" spans="2:52" ht="3" customHeight="1" x14ac:dyDescent="0.3">
      <c r="B29" s="248"/>
      <c r="D29" s="249"/>
      <c r="E29" s="250"/>
      <c r="F29" s="250"/>
      <c r="G29" s="251"/>
      <c r="I29" s="249"/>
      <c r="J29" s="250"/>
      <c r="K29" s="250"/>
      <c r="L29" s="251"/>
      <c r="N29" s="249"/>
      <c r="O29" s="250"/>
      <c r="P29" s="250"/>
      <c r="Q29" s="251"/>
      <c r="T29" s="250"/>
      <c r="U29" s="250"/>
      <c r="V29" s="251"/>
      <c r="X29" s="249"/>
      <c r="Y29" s="250"/>
      <c r="Z29" s="250"/>
      <c r="AA29" s="251"/>
      <c r="AC29" s="249"/>
      <c r="AD29" s="250"/>
      <c r="AE29" s="250"/>
      <c r="AF29" s="251"/>
      <c r="AG29" s="250"/>
      <c r="AH29" s="249"/>
      <c r="AI29" s="250"/>
      <c r="AJ29" s="250"/>
      <c r="AK29" s="251"/>
      <c r="AL29" s="250"/>
      <c r="AM29" s="249"/>
      <c r="AN29" s="250"/>
      <c r="AO29" s="250"/>
      <c r="AP29" s="251"/>
      <c r="AR29" s="249"/>
      <c r="AS29" s="250"/>
      <c r="AT29" s="250"/>
      <c r="AU29" s="251"/>
      <c r="AW29" s="249"/>
      <c r="AX29" s="250"/>
      <c r="AY29" s="250"/>
      <c r="AZ29" s="251"/>
    </row>
    <row r="30" spans="2:52" ht="18.75" customHeight="1" x14ac:dyDescent="0.3">
      <c r="B30" s="379" t="s">
        <v>231</v>
      </c>
      <c r="C30" s="252"/>
      <c r="D30" s="253"/>
      <c r="E30" s="254">
        <v>31</v>
      </c>
      <c r="F30" s="255">
        <f ca="1">VLOOKUP(E30,INDIRECT($BB$1),12,0)</f>
        <v>25</v>
      </c>
      <c r="G30" s="256"/>
      <c r="I30" s="253"/>
      <c r="J30" s="254">
        <v>32</v>
      </c>
      <c r="K30" s="255">
        <f ca="1">VLOOKUP(J30,INDIRECT($BB$1),12,0)</f>
        <v>83</v>
      </c>
      <c r="L30" s="256"/>
      <c r="N30" s="253"/>
      <c r="O30" s="254">
        <v>33</v>
      </c>
      <c r="P30" s="255">
        <f ca="1">VLOOKUP(O30,INDIRECT($BB$1),12,0)</f>
        <v>79</v>
      </c>
      <c r="Q30" s="256"/>
      <c r="T30" s="254">
        <v>34</v>
      </c>
      <c r="U30" s="255">
        <f ca="1">VLOOKUP(T30,INDIRECT($BB$1),12,0)</f>
        <v>1</v>
      </c>
      <c r="V30" s="256"/>
      <c r="X30" s="253"/>
      <c r="Y30" s="254">
        <v>35</v>
      </c>
      <c r="Z30" s="255">
        <f ca="1">VLOOKUP(Y30,INDIRECT($BB$1),12,0)</f>
        <v>88</v>
      </c>
      <c r="AA30" s="256"/>
      <c r="AC30" s="253"/>
      <c r="AD30" s="254">
        <v>36</v>
      </c>
      <c r="AE30" s="255">
        <f ca="1">VLOOKUP(AD30,INDIRECT($BB$1),12,0)</f>
        <v>118</v>
      </c>
      <c r="AF30" s="256"/>
      <c r="AG30" s="118"/>
      <c r="AH30" s="253"/>
      <c r="AI30" s="254">
        <v>37</v>
      </c>
      <c r="AJ30" s="255">
        <f ca="1">VLOOKUP(AI30,INDIRECT($BB$1),12,0)</f>
        <v>34</v>
      </c>
      <c r="AK30" s="256"/>
      <c r="AL30" s="118"/>
      <c r="AM30" s="253"/>
      <c r="AN30" s="254">
        <v>38</v>
      </c>
      <c r="AO30" s="255">
        <f ca="1">VLOOKUP(AN30,INDIRECT($BB$1),12,0)</f>
        <v>87</v>
      </c>
      <c r="AP30" s="256"/>
      <c r="AR30" s="253"/>
      <c r="AS30" s="254">
        <v>39</v>
      </c>
      <c r="AT30" s="255">
        <f ca="1">VLOOKUP(AS30,INDIRECT($BB$1),12,0)</f>
        <v>30</v>
      </c>
      <c r="AU30" s="256"/>
      <c r="AW30" s="253"/>
      <c r="AX30" s="254">
        <v>40</v>
      </c>
      <c r="AY30" s="255">
        <f ca="1">VLOOKUP(AX30,INDIRECT($BB$1),12,0)</f>
        <v>112</v>
      </c>
      <c r="AZ30" s="256"/>
    </row>
    <row r="31" spans="2:52" ht="12.15" customHeight="1" x14ac:dyDescent="0.3">
      <c r="B31" s="379"/>
      <c r="C31" s="252"/>
      <c r="D31" s="253"/>
      <c r="E31" s="380" t="str">
        <f>VLOOKUP(E30,STARTOVKA,3,0)</f>
        <v>BINAY Noah</v>
      </c>
      <c r="F31" s="380"/>
      <c r="G31" s="257"/>
      <c r="H31" s="258"/>
      <c r="I31" s="259"/>
      <c r="J31" s="380" t="str">
        <f>VLOOKUP(J30,STARTOVKA,3,0)</f>
        <v>BONNES Julius</v>
      </c>
      <c r="K31" s="380"/>
      <c r="L31" s="257"/>
      <c r="M31" s="258"/>
      <c r="N31" s="259"/>
      <c r="O31" s="380" t="str">
        <f>VLOOKUP(O30,STARTOVKA,3,0)</f>
        <v>CLAUSS Marc</v>
      </c>
      <c r="P31" s="380"/>
      <c r="Q31" s="257"/>
      <c r="R31" s="258"/>
      <c r="S31" s="258"/>
      <c r="T31" s="380" t="str">
        <f>VLOOKUP(T30,STARTOVKA,3,0)</f>
        <v>FRANZ Toni</v>
      </c>
      <c r="U31" s="380"/>
      <c r="V31" s="257"/>
      <c r="W31" s="258"/>
      <c r="X31" s="259"/>
      <c r="Y31" s="380" t="str">
        <f>VLOOKUP(Y30,STARTOVKA,3,0)</f>
        <v>KAMLOT Tom</v>
      </c>
      <c r="Z31" s="380"/>
      <c r="AA31" s="257"/>
      <c r="AB31" s="258"/>
      <c r="AC31" s="259"/>
      <c r="AD31" s="380" t="str">
        <f>VLOOKUP(AD30,STARTOVKA,3,0)</f>
        <v>KLUGE Felix</v>
      </c>
      <c r="AE31" s="380"/>
      <c r="AF31" s="256"/>
      <c r="AG31" s="118"/>
      <c r="AH31" s="259"/>
      <c r="AI31" s="380" t="str">
        <f>VLOOKUP(AI30,STARTOVKA,3,0)</f>
        <v>NOLDE Tobias</v>
      </c>
      <c r="AJ31" s="380"/>
      <c r="AK31" s="257"/>
      <c r="AL31" s="118"/>
      <c r="AM31" s="259"/>
      <c r="AN31" s="380" t="str">
        <f>VLOOKUP(AN30,STARTOVKA,3,0)</f>
        <v>SCHNEIDER Jonas</v>
      </c>
      <c r="AO31" s="380"/>
      <c r="AP31" s="257"/>
      <c r="AQ31" s="258"/>
      <c r="AR31" s="259"/>
      <c r="AS31" s="380" t="str">
        <f>VLOOKUP(AS30,STARTOVKA,3,0)</f>
        <v>ZSCHOCKE Maximilian</v>
      </c>
      <c r="AT31" s="380"/>
      <c r="AU31" s="257"/>
      <c r="AV31" s="258"/>
      <c r="AW31" s="259"/>
      <c r="AX31" s="380" t="str">
        <f>VLOOKUP(AX30,STARTOVKA,3,0)</f>
        <v>ZUGEHÖR Anton</v>
      </c>
      <c r="AY31" s="380"/>
      <c r="AZ31" s="256"/>
    </row>
    <row r="32" spans="2:52" ht="18.75" customHeight="1" x14ac:dyDescent="0.3">
      <c r="B32" s="379"/>
      <c r="C32" s="252"/>
      <c r="D32" s="253"/>
      <c r="E32" s="260">
        <f ca="1">VLOOKUP(E30,INDIRECT($BB$1),8,0)</f>
        <v>7.8252314814814816E-2</v>
      </c>
      <c r="F32" s="261">
        <f ca="1">VLOOKUP(E30,INDIRECT($BB$1),9,0)</f>
        <v>1.157407407407357E-4</v>
      </c>
      <c r="G32" s="256"/>
      <c r="I32" s="253"/>
      <c r="J32" s="260">
        <f ca="1">VLOOKUP(J30,INDIRECT($BB$1),8,0)</f>
        <v>7.8912037037037031E-2</v>
      </c>
      <c r="K32" s="261">
        <f ca="1">VLOOKUP(J30,INDIRECT($BB$1),9,0)</f>
        <v>7.7546296296295003E-4</v>
      </c>
      <c r="L32" s="256"/>
      <c r="N32" s="253"/>
      <c r="O32" s="260">
        <f ca="1">VLOOKUP(O30,INDIRECT($BB$1),8,0)</f>
        <v>7.885416666666667E-2</v>
      </c>
      <c r="P32" s="261">
        <f ca="1">VLOOKUP(O30,INDIRECT($BB$1),9,0)</f>
        <v>7.1759259259258912E-4</v>
      </c>
      <c r="Q32" s="256"/>
      <c r="T32" s="260">
        <f ca="1">VLOOKUP(T30,INDIRECT($BB$1),8,0)</f>
        <v>7.8136574074074081E-2</v>
      </c>
      <c r="U32" s="261">
        <f ca="1">VLOOKUP(T30,INDIRECT($BB$1),9,0)</f>
        <v>0</v>
      </c>
      <c r="V32" s="256"/>
      <c r="X32" s="253"/>
      <c r="Y32" s="260">
        <f ca="1">VLOOKUP(Y30,INDIRECT($BB$1),8,0)</f>
        <v>8.1365740740740738E-2</v>
      </c>
      <c r="Z32" s="261">
        <f ca="1">VLOOKUP(Y30,INDIRECT($BB$1),9,0)</f>
        <v>3.229166666666658E-3</v>
      </c>
      <c r="AA32" s="256"/>
      <c r="AC32" s="253"/>
      <c r="AD32" s="260">
        <f ca="1">VLOOKUP(AD30,INDIRECT($BB$1),8,0)</f>
        <v>8.9444444444444438E-2</v>
      </c>
      <c r="AE32" s="261">
        <f ca="1">VLOOKUP(AD30,INDIRECT($BB$1),9,0)</f>
        <v>1.1307870370370357E-2</v>
      </c>
      <c r="AF32" s="256"/>
      <c r="AG32" s="118"/>
      <c r="AH32" s="253"/>
      <c r="AI32" s="260">
        <f ca="1">VLOOKUP(AI30,INDIRECT($BB$1),8,0)</f>
        <v>7.8252314814814816E-2</v>
      </c>
      <c r="AJ32" s="261">
        <f ca="1">VLOOKUP(AI30,INDIRECT($BB$1),9,0)</f>
        <v>1.157407407407357E-4</v>
      </c>
      <c r="AK32" s="256"/>
      <c r="AL32" s="118"/>
      <c r="AM32" s="253"/>
      <c r="AN32" s="260">
        <f ca="1">VLOOKUP(AN30,INDIRECT($BB$1),8,0)</f>
        <v>8.1203703703703708E-2</v>
      </c>
      <c r="AO32" s="261">
        <f ca="1">VLOOKUP(AN30,INDIRECT($BB$1),9,0)</f>
        <v>3.067129629629628E-3</v>
      </c>
      <c r="AP32" s="256"/>
      <c r="AR32" s="253"/>
      <c r="AS32" s="260">
        <f ca="1">VLOOKUP(AS30,INDIRECT($BB$1),8,0)</f>
        <v>7.8252314814814816E-2</v>
      </c>
      <c r="AT32" s="261">
        <f ca="1">VLOOKUP(AS30,INDIRECT($BB$1),9,0)</f>
        <v>1.157407407407357E-4</v>
      </c>
      <c r="AU32" s="256"/>
      <c r="AW32" s="253"/>
      <c r="AX32" s="260">
        <f ca="1">VLOOKUP(AX30,INDIRECT($BB$1),8,0)</f>
        <v>8.9189814814814819E-2</v>
      </c>
      <c r="AY32" s="261">
        <f ca="1">VLOOKUP(AX30,INDIRECT($BB$1),9,0)</f>
        <v>1.1053240740740738E-2</v>
      </c>
      <c r="AZ32" s="256"/>
    </row>
    <row r="33" spans="2:52" ht="3" customHeight="1" x14ac:dyDescent="0.3">
      <c r="B33" s="262"/>
      <c r="D33" s="263"/>
      <c r="E33" s="264"/>
      <c r="F33" s="264"/>
      <c r="G33" s="265"/>
      <c r="I33" s="263"/>
      <c r="J33" s="264"/>
      <c r="K33" s="264"/>
      <c r="L33" s="265"/>
      <c r="N33" s="263"/>
      <c r="O33" s="264"/>
      <c r="P33" s="264"/>
      <c r="Q33" s="265"/>
      <c r="T33" s="264"/>
      <c r="U33" s="264"/>
      <c r="V33" s="265"/>
      <c r="X33" s="263"/>
      <c r="Y33" s="264"/>
      <c r="Z33" s="264"/>
      <c r="AA33" s="265"/>
      <c r="AC33" s="263"/>
      <c r="AD33" s="264"/>
      <c r="AE33" s="264"/>
      <c r="AF33" s="265"/>
      <c r="AG33" s="264"/>
      <c r="AH33" s="263"/>
      <c r="AI33" s="264"/>
      <c r="AJ33" s="264"/>
      <c r="AK33" s="265"/>
      <c r="AL33" s="264"/>
      <c r="AM33" s="263"/>
      <c r="AN33" s="264"/>
      <c r="AO33" s="264"/>
      <c r="AP33" s="265"/>
      <c r="AR33" s="263"/>
      <c r="AS33" s="264"/>
      <c r="AT33" s="264"/>
      <c r="AU33" s="265"/>
      <c r="AW33" s="263"/>
      <c r="AX33" s="264"/>
      <c r="AY33" s="264"/>
      <c r="AZ33" s="265"/>
    </row>
    <row r="34" spans="2:52" ht="3" customHeight="1" x14ac:dyDescent="0.3"/>
    <row r="35" spans="2:52" ht="3" customHeight="1" x14ac:dyDescent="0.3">
      <c r="B35" s="248"/>
      <c r="D35" s="249"/>
      <c r="E35" s="250"/>
      <c r="F35" s="250"/>
      <c r="G35" s="251"/>
      <c r="I35" s="249"/>
      <c r="J35" s="250"/>
      <c r="K35" s="250"/>
      <c r="L35" s="251"/>
      <c r="N35" s="249"/>
      <c r="O35" s="250"/>
      <c r="P35" s="250"/>
      <c r="Q35" s="251"/>
      <c r="T35" s="250"/>
      <c r="U35" s="250"/>
      <c r="V35" s="251"/>
      <c r="X35" s="249"/>
      <c r="Y35" s="250"/>
      <c r="Z35" s="250"/>
      <c r="AA35" s="251"/>
      <c r="AC35" s="249"/>
      <c r="AD35" s="250"/>
      <c r="AE35" s="250"/>
      <c r="AF35" s="251"/>
      <c r="AG35" s="250"/>
      <c r="AH35" s="249"/>
      <c r="AI35" s="250"/>
      <c r="AJ35" s="250"/>
      <c r="AK35" s="251"/>
      <c r="AL35" s="250"/>
      <c r="AM35" s="249"/>
      <c r="AN35" s="250"/>
      <c r="AO35" s="250"/>
      <c r="AP35" s="251"/>
      <c r="AR35" s="249"/>
      <c r="AS35" s="250"/>
      <c r="AT35" s="250"/>
      <c r="AU35" s="251"/>
      <c r="AW35" s="249"/>
      <c r="AX35" s="250"/>
      <c r="AY35" s="250"/>
      <c r="AZ35" s="251"/>
    </row>
    <row r="36" spans="2:52" ht="18.75" customHeight="1" x14ac:dyDescent="0.3">
      <c r="B36" s="379" t="s">
        <v>221</v>
      </c>
      <c r="C36" s="252"/>
      <c r="D36" s="253"/>
      <c r="E36" s="254">
        <v>41</v>
      </c>
      <c r="F36" s="255">
        <f ca="1">VLOOKUP(E36,INDIRECT($BB$1),12,0)</f>
        <v>27</v>
      </c>
      <c r="G36" s="256"/>
      <c r="I36" s="253"/>
      <c r="J36" s="254">
        <v>42</v>
      </c>
      <c r="K36" s="255">
        <f ca="1">VLOOKUP(J36,INDIRECT($BB$1),12,0)</f>
        <v>130</v>
      </c>
      <c r="L36" s="256"/>
      <c r="N36" s="253"/>
      <c r="O36" s="254">
        <v>43</v>
      </c>
      <c r="P36" s="255">
        <f ca="1">VLOOKUP(O36,INDIRECT($BB$1),12,0)</f>
        <v>10</v>
      </c>
      <c r="Q36" s="256"/>
      <c r="T36" s="254">
        <v>44</v>
      </c>
      <c r="U36" s="255">
        <f ca="1">VLOOKUP(T36,INDIRECT($BB$1),12,0)</f>
        <v>93</v>
      </c>
      <c r="V36" s="256"/>
      <c r="X36" s="253"/>
      <c r="Y36" s="254">
        <v>45</v>
      </c>
      <c r="Z36" s="255">
        <f ca="1">VLOOKUP(Y36,INDIRECT($BB$1),12,0)</f>
        <v>29</v>
      </c>
      <c r="AA36" s="256"/>
      <c r="AC36" s="253"/>
      <c r="AD36" s="254">
        <v>46</v>
      </c>
      <c r="AE36" s="255">
        <f ca="1">VLOOKUP(AD36,INDIRECT($BB$1),12,0)</f>
        <v>110</v>
      </c>
      <c r="AF36" s="256"/>
      <c r="AG36" s="118"/>
      <c r="AH36" s="253"/>
      <c r="AI36" s="254"/>
      <c r="AJ36" s="255"/>
      <c r="AK36" s="256"/>
      <c r="AL36" s="118"/>
      <c r="AM36" s="253"/>
      <c r="AN36" s="254"/>
      <c r="AO36" s="255"/>
      <c r="AP36" s="256"/>
      <c r="AR36" s="253"/>
      <c r="AS36" s="254"/>
      <c r="AT36" s="255"/>
      <c r="AU36" s="256"/>
      <c r="AW36" s="253"/>
      <c r="AX36" s="254"/>
      <c r="AY36" s="255"/>
      <c r="AZ36" s="256"/>
    </row>
    <row r="37" spans="2:52" ht="12.15" customHeight="1" x14ac:dyDescent="0.3">
      <c r="B37" s="379"/>
      <c r="C37" s="252"/>
      <c r="D37" s="253"/>
      <c r="E37" s="380" t="str">
        <f>VLOOKUP(E36,STARTOVKA,3,0)</f>
        <v xml:space="preserve">CHYTIL Daniel </v>
      </c>
      <c r="F37" s="380"/>
      <c r="G37" s="257"/>
      <c r="H37" s="258"/>
      <c r="I37" s="259"/>
      <c r="J37" s="380" t="str">
        <f>VLOOKUP(J36,STARTOVKA,3,0)</f>
        <v xml:space="preserve">KABRHEL Milan </v>
      </c>
      <c r="K37" s="380"/>
      <c r="L37" s="257"/>
      <c r="M37" s="258"/>
      <c r="N37" s="259"/>
      <c r="O37" s="380" t="str">
        <f>VLOOKUP(O36,STARTOVKA,3,0)</f>
        <v xml:space="preserve">KOČAŘÍK Václav </v>
      </c>
      <c r="P37" s="380"/>
      <c r="Q37" s="257"/>
      <c r="R37" s="258"/>
      <c r="S37" s="258"/>
      <c r="T37" s="380" t="str">
        <f>VLOOKUP(T36,STARTOVKA,3,0)</f>
        <v xml:space="preserve">KUBEŠ Martin </v>
      </c>
      <c r="U37" s="380"/>
      <c r="V37" s="257"/>
      <c r="W37" s="258"/>
      <c r="X37" s="259"/>
      <c r="Y37" s="380" t="str">
        <f>VLOOKUP(Y36,STARTOVKA,3,0)</f>
        <v xml:space="preserve">STRUPEK Matyáš </v>
      </c>
      <c r="Z37" s="380"/>
      <c r="AA37" s="257"/>
      <c r="AB37" s="258"/>
      <c r="AC37" s="259"/>
      <c r="AD37" s="380" t="str">
        <f>VLOOKUP(AD36,STARTOVKA,3,0)</f>
        <v xml:space="preserve">ŠMÍDA Martin </v>
      </c>
      <c r="AE37" s="380"/>
      <c r="AF37" s="256"/>
      <c r="AG37" s="118"/>
      <c r="AH37" s="259"/>
      <c r="AI37" s="380"/>
      <c r="AJ37" s="380"/>
      <c r="AK37" s="257"/>
      <c r="AL37" s="118"/>
      <c r="AM37" s="259"/>
      <c r="AN37" s="380"/>
      <c r="AO37" s="380"/>
      <c r="AP37" s="257"/>
      <c r="AQ37" s="258"/>
      <c r="AR37" s="259"/>
      <c r="AS37" s="380"/>
      <c r="AT37" s="380"/>
      <c r="AU37" s="257"/>
      <c r="AV37" s="258"/>
      <c r="AW37" s="259"/>
      <c r="AX37" s="380"/>
      <c r="AY37" s="380"/>
      <c r="AZ37" s="256"/>
    </row>
    <row r="38" spans="2:52" ht="18.75" customHeight="1" x14ac:dyDescent="0.3">
      <c r="B38" s="379"/>
      <c r="C38" s="252"/>
      <c r="D38" s="253"/>
      <c r="E38" s="260">
        <f ca="1">VLOOKUP(E36,INDIRECT($BB$1),8,0)</f>
        <v>7.8252314814814816E-2</v>
      </c>
      <c r="F38" s="261">
        <f ca="1">VLOOKUP(E36,INDIRECT($BB$1),9,0)</f>
        <v>1.157407407407357E-4</v>
      </c>
      <c r="G38" s="256"/>
      <c r="I38" s="253"/>
      <c r="J38" s="260">
        <f ca="1">VLOOKUP(J36,INDIRECT($BB$1),8,0)</f>
        <v>0.10581018518518519</v>
      </c>
      <c r="K38" s="261">
        <f ca="1">VLOOKUP(J36,INDIRECT($BB$1),9,0)</f>
        <v>2.7673611111111107E-2</v>
      </c>
      <c r="L38" s="256"/>
      <c r="N38" s="253"/>
      <c r="O38" s="260">
        <f ca="1">VLOOKUP(O36,INDIRECT($BB$1),8,0)</f>
        <v>7.8252314814814816E-2</v>
      </c>
      <c r="P38" s="261">
        <f ca="1">VLOOKUP(O36,INDIRECT($BB$1),9,0)</f>
        <v>1.157407407407357E-4</v>
      </c>
      <c r="Q38" s="256"/>
      <c r="T38" s="260">
        <f ca="1">VLOOKUP(T36,INDIRECT($BB$1),8,0)</f>
        <v>8.2812499999999997E-2</v>
      </c>
      <c r="U38" s="261">
        <f ca="1">VLOOKUP(T36,INDIRECT($BB$1),9,0)</f>
        <v>4.6759259259259167E-3</v>
      </c>
      <c r="V38" s="256"/>
      <c r="X38" s="253"/>
      <c r="Y38" s="260">
        <f ca="1">VLOOKUP(Y36,INDIRECT($BB$1),8,0)</f>
        <v>7.8252314814814816E-2</v>
      </c>
      <c r="Z38" s="261">
        <f ca="1">VLOOKUP(Y36,INDIRECT($BB$1),9,0)</f>
        <v>1.157407407407357E-4</v>
      </c>
      <c r="AA38" s="256"/>
      <c r="AC38" s="253"/>
      <c r="AD38" s="260">
        <f ca="1">VLOOKUP(AD36,INDIRECT($BB$1),8,0)</f>
        <v>8.9189814814814819E-2</v>
      </c>
      <c r="AE38" s="261">
        <f ca="1">VLOOKUP(AD36,INDIRECT($BB$1),9,0)</f>
        <v>1.1053240740740738E-2</v>
      </c>
      <c r="AF38" s="256"/>
      <c r="AG38" s="118"/>
      <c r="AH38" s="253"/>
      <c r="AI38" s="260"/>
      <c r="AJ38" s="261"/>
      <c r="AK38" s="256"/>
      <c r="AL38" s="118"/>
      <c r="AM38" s="253"/>
      <c r="AN38" s="260"/>
      <c r="AO38" s="261"/>
      <c r="AP38" s="256"/>
      <c r="AR38" s="253"/>
      <c r="AS38" s="260"/>
      <c r="AT38" s="261"/>
      <c r="AU38" s="256"/>
      <c r="AW38" s="253"/>
      <c r="AX38" s="260"/>
      <c r="AY38" s="261"/>
      <c r="AZ38" s="256"/>
    </row>
    <row r="39" spans="2:52" ht="3" customHeight="1" x14ac:dyDescent="0.3">
      <c r="B39" s="262"/>
      <c r="D39" s="263"/>
      <c r="E39" s="264"/>
      <c r="F39" s="264"/>
      <c r="G39" s="265"/>
      <c r="I39" s="263"/>
      <c r="J39" s="264"/>
      <c r="K39" s="264"/>
      <c r="L39" s="265"/>
      <c r="N39" s="263"/>
      <c r="O39" s="264"/>
      <c r="P39" s="264"/>
      <c r="Q39" s="265"/>
      <c r="T39" s="264"/>
      <c r="U39" s="264"/>
      <c r="V39" s="265"/>
      <c r="X39" s="263"/>
      <c r="Y39" s="264"/>
      <c r="Z39" s="264"/>
      <c r="AA39" s="265"/>
      <c r="AC39" s="263"/>
      <c r="AD39" s="264"/>
      <c r="AE39" s="264"/>
      <c r="AF39" s="265"/>
      <c r="AG39" s="264"/>
      <c r="AH39" s="263"/>
      <c r="AI39" s="264"/>
      <c r="AJ39" s="264"/>
      <c r="AK39" s="265"/>
      <c r="AL39" s="264"/>
      <c r="AM39" s="263"/>
      <c r="AN39" s="264"/>
      <c r="AO39" s="264"/>
      <c r="AP39" s="265"/>
      <c r="AR39" s="263"/>
      <c r="AS39" s="264"/>
      <c r="AT39" s="264"/>
      <c r="AU39" s="265"/>
      <c r="AW39" s="263"/>
      <c r="AX39" s="264"/>
      <c r="AY39" s="264"/>
      <c r="AZ39" s="265"/>
    </row>
    <row r="40" spans="2:52" ht="3" customHeight="1" x14ac:dyDescent="0.3"/>
    <row r="41" spans="2:52" ht="3" customHeight="1" x14ac:dyDescent="0.3">
      <c r="B41" s="248"/>
      <c r="D41" s="249"/>
      <c r="E41" s="250"/>
      <c r="F41" s="250"/>
      <c r="G41" s="251"/>
      <c r="I41" s="249"/>
      <c r="J41" s="250"/>
      <c r="K41" s="250"/>
      <c r="L41" s="251"/>
      <c r="N41" s="249"/>
      <c r="O41" s="250"/>
      <c r="P41" s="250"/>
      <c r="Q41" s="251"/>
      <c r="T41" s="250"/>
      <c r="U41" s="250"/>
      <c r="V41" s="251"/>
      <c r="X41" s="249"/>
      <c r="Y41" s="250"/>
      <c r="Z41" s="250"/>
      <c r="AA41" s="251"/>
      <c r="AC41" s="249"/>
      <c r="AD41" s="250"/>
      <c r="AE41" s="250"/>
      <c r="AF41" s="251"/>
      <c r="AG41" s="250"/>
      <c r="AH41" s="249"/>
      <c r="AI41" s="250"/>
      <c r="AJ41" s="250"/>
      <c r="AK41" s="251"/>
      <c r="AL41" s="250"/>
      <c r="AM41" s="249"/>
      <c r="AN41" s="250"/>
      <c r="AO41" s="250"/>
      <c r="AP41" s="251"/>
      <c r="AR41" s="249"/>
      <c r="AS41" s="250"/>
      <c r="AT41" s="250"/>
      <c r="AU41" s="251"/>
      <c r="AW41" s="249"/>
      <c r="AX41" s="250"/>
      <c r="AY41" s="250"/>
      <c r="AZ41" s="251"/>
    </row>
    <row r="42" spans="2:52" ht="18.75" customHeight="1" x14ac:dyDescent="0.3">
      <c r="B42" s="379" t="s">
        <v>652</v>
      </c>
      <c r="C42" s="252"/>
      <c r="D42" s="253"/>
      <c r="E42" s="254">
        <v>51</v>
      </c>
      <c r="F42" s="255">
        <f ca="1">VLOOKUP(E42,INDIRECT($BB$1),12,0)</f>
        <v>50</v>
      </c>
      <c r="G42" s="256"/>
      <c r="I42" s="253"/>
      <c r="J42" s="254">
        <v>52</v>
      </c>
      <c r="K42" s="255">
        <f ca="1">VLOOKUP(J42,INDIRECT($BB$1),12,0)</f>
        <v>62</v>
      </c>
      <c r="L42" s="256"/>
      <c r="N42" s="253"/>
      <c r="O42" s="254">
        <v>53</v>
      </c>
      <c r="P42" s="255">
        <f ca="1">VLOOKUP(O42,INDIRECT($BB$1),12,0)</f>
        <v>16</v>
      </c>
      <c r="Q42" s="256"/>
      <c r="T42" s="254">
        <v>54</v>
      </c>
      <c r="U42" s="255">
        <f ca="1">VLOOKUP(T42,INDIRECT($BB$1),12,0)</f>
        <v>22</v>
      </c>
      <c r="V42" s="256"/>
      <c r="X42" s="253"/>
      <c r="Y42" s="254">
        <v>55</v>
      </c>
      <c r="Z42" s="255">
        <f ca="1">VLOOKUP(Y42,INDIRECT($BB$1),12,0)</f>
        <v>120</v>
      </c>
      <c r="AA42" s="256"/>
      <c r="AC42" s="253"/>
      <c r="AD42" s="254">
        <v>56</v>
      </c>
      <c r="AE42" s="255">
        <f ca="1">VLOOKUP(AD42,INDIRECT($BB$1),12,0)</f>
        <v>56</v>
      </c>
      <c r="AF42" s="256"/>
      <c r="AG42" s="118"/>
      <c r="AH42" s="253"/>
      <c r="AI42" s="254">
        <v>57</v>
      </c>
      <c r="AJ42" s="255">
        <f ca="1">VLOOKUP(AI42,INDIRECT($BB$1),12,0)</f>
        <v>36</v>
      </c>
      <c r="AK42" s="256"/>
      <c r="AL42" s="118"/>
      <c r="AM42" s="253"/>
      <c r="AN42" s="254">
        <v>58</v>
      </c>
      <c r="AO42" s="255">
        <f ca="1">VLOOKUP(AN42,INDIRECT($BB$1),12,0)</f>
        <v>23</v>
      </c>
      <c r="AP42" s="256"/>
      <c r="AR42" s="253"/>
      <c r="AS42" s="254">
        <v>59</v>
      </c>
      <c r="AT42" s="255">
        <f ca="1">VLOOKUP(AS42,INDIRECT($BB$1),12,0)</f>
        <v>91</v>
      </c>
      <c r="AU42" s="256"/>
      <c r="AW42" s="253"/>
      <c r="AX42" s="254">
        <v>60</v>
      </c>
      <c r="AY42" s="255">
        <f ca="1">VLOOKUP(AX42,INDIRECT($BB$1),12,0)</f>
        <v>55</v>
      </c>
      <c r="AZ42" s="256"/>
    </row>
    <row r="43" spans="2:52" ht="12.15" customHeight="1" x14ac:dyDescent="0.3">
      <c r="B43" s="379"/>
      <c r="C43" s="252"/>
      <c r="D43" s="253"/>
      <c r="E43" s="380" t="str">
        <f>VLOOKUP(E42,STARTOVKA,3,0)</f>
        <v>TRACHTULEC Petr</v>
      </c>
      <c r="F43" s="380"/>
      <c r="G43" s="257"/>
      <c r="H43" s="258"/>
      <c r="I43" s="259"/>
      <c r="J43" s="380" t="str">
        <f>VLOOKUP(J42,STARTOVKA,3,0)</f>
        <v>KREJČÍ Marian</v>
      </c>
      <c r="K43" s="380"/>
      <c r="L43" s="257"/>
      <c r="M43" s="258"/>
      <c r="N43" s="259"/>
      <c r="O43" s="380" t="str">
        <f>VLOOKUP(O42,STARTOVKA,3,0)</f>
        <v>MIKŠANÍK Vladimír</v>
      </c>
      <c r="P43" s="380"/>
      <c r="Q43" s="257"/>
      <c r="R43" s="258"/>
      <c r="S43" s="258"/>
      <c r="T43" s="380" t="str">
        <f>VLOOKUP(T42,STARTOVKA,3,0)</f>
        <v>POKORNÝ Petr</v>
      </c>
      <c r="U43" s="380"/>
      <c r="V43" s="257"/>
      <c r="W43" s="258"/>
      <c r="X43" s="259"/>
      <c r="Y43" s="380" t="str">
        <f>VLOOKUP(Y42,STARTOVKA,3,0)</f>
        <v>VÁVRA Marek</v>
      </c>
      <c r="Z43" s="380"/>
      <c r="AA43" s="257"/>
      <c r="AB43" s="258"/>
      <c r="AC43" s="259"/>
      <c r="AD43" s="380" t="str">
        <f>VLOOKUP(AD42,STARTOVKA,3,0)</f>
        <v>FOLTYN Maciej</v>
      </c>
      <c r="AE43" s="380"/>
      <c r="AF43" s="256"/>
      <c r="AG43" s="118"/>
      <c r="AH43" s="259"/>
      <c r="AI43" s="380" t="str">
        <f>VLOOKUP(AI42,STARTOVKA,3,0)</f>
        <v xml:space="preserve">GRZEGORZYCA Dominik </v>
      </c>
      <c r="AJ43" s="380"/>
      <c r="AK43" s="257"/>
      <c r="AL43" s="118"/>
      <c r="AM43" s="259"/>
      <c r="AN43" s="380" t="str">
        <f>VLOOKUP(AN42,STARTOVKA,3,0)</f>
        <v xml:space="preserve">MIGAS Dawid </v>
      </c>
      <c r="AO43" s="380"/>
      <c r="AP43" s="257"/>
      <c r="AQ43" s="258"/>
      <c r="AR43" s="259"/>
      <c r="AS43" s="380" t="str">
        <f>VLOOKUP(AS42,STARTOVKA,3,0)</f>
        <v>INDEKA Kamil</v>
      </c>
      <c r="AT43" s="380"/>
      <c r="AU43" s="257"/>
      <c r="AV43" s="258"/>
      <c r="AW43" s="259"/>
      <c r="AX43" s="380" t="str">
        <f>VLOOKUP(AX42,STARTOVKA,3,0)</f>
        <v>BLAŠKOVIČ Richard</v>
      </c>
      <c r="AY43" s="380"/>
      <c r="AZ43" s="256"/>
    </row>
    <row r="44" spans="2:52" ht="18.75" customHeight="1" x14ac:dyDescent="0.3">
      <c r="B44" s="379"/>
      <c r="C44" s="252"/>
      <c r="D44" s="253"/>
      <c r="E44" s="260">
        <f ca="1">VLOOKUP(E42,INDIRECT($BB$1),8,0)</f>
        <v>7.8252314814814816E-2</v>
      </c>
      <c r="F44" s="261">
        <f ca="1">VLOOKUP(E42,INDIRECT($BB$1),9,0)</f>
        <v>1.157407407407357E-4</v>
      </c>
      <c r="G44" s="256"/>
      <c r="I44" s="253"/>
      <c r="J44" s="260">
        <f ca="1">VLOOKUP(J42,INDIRECT($BB$1),8,0)</f>
        <v>7.8252314814814816E-2</v>
      </c>
      <c r="K44" s="261">
        <f ca="1">VLOOKUP(J42,INDIRECT($BB$1),9,0)</f>
        <v>1.157407407407357E-4</v>
      </c>
      <c r="L44" s="256"/>
      <c r="N44" s="253"/>
      <c r="O44" s="260">
        <f ca="1">VLOOKUP(O42,INDIRECT($BB$1),8,0)</f>
        <v>7.8252314814814816E-2</v>
      </c>
      <c r="P44" s="261">
        <f ca="1">VLOOKUP(O42,INDIRECT($BB$1),9,0)</f>
        <v>1.157407407407357E-4</v>
      </c>
      <c r="Q44" s="256"/>
      <c r="T44" s="260">
        <f ca="1">VLOOKUP(T42,INDIRECT($BB$1),8,0)</f>
        <v>7.8252314814814816E-2</v>
      </c>
      <c r="U44" s="261">
        <f ca="1">VLOOKUP(T42,INDIRECT($BB$1),9,0)</f>
        <v>1.157407407407357E-4</v>
      </c>
      <c r="V44" s="256"/>
      <c r="X44" s="253"/>
      <c r="Y44" s="260">
        <f ca="1">VLOOKUP(Y42,INDIRECT($BB$1),8,0)</f>
        <v>9.1921296296296293E-2</v>
      </c>
      <c r="Z44" s="261">
        <f ca="1">VLOOKUP(Y42,INDIRECT($BB$1),9,0)</f>
        <v>1.3784722222222212E-2</v>
      </c>
      <c r="AA44" s="256"/>
      <c r="AC44" s="253"/>
      <c r="AD44" s="260">
        <f ca="1">VLOOKUP(AD42,INDIRECT($BB$1),8,0)</f>
        <v>7.8252314814814816E-2</v>
      </c>
      <c r="AE44" s="261">
        <f ca="1">VLOOKUP(AD42,INDIRECT($BB$1),9,0)</f>
        <v>1.157407407407357E-4</v>
      </c>
      <c r="AF44" s="256"/>
      <c r="AG44" s="118"/>
      <c r="AH44" s="253"/>
      <c r="AI44" s="260">
        <f ca="1">VLOOKUP(AI42,INDIRECT($BB$1),8,0)</f>
        <v>7.8252314814814816E-2</v>
      </c>
      <c r="AJ44" s="261">
        <f ca="1">VLOOKUP(AI42,INDIRECT($BB$1),9,0)</f>
        <v>1.157407407407357E-4</v>
      </c>
      <c r="AK44" s="256"/>
      <c r="AL44" s="118"/>
      <c r="AM44" s="253"/>
      <c r="AN44" s="260">
        <f ca="1">VLOOKUP(AN42,INDIRECT($BB$1),8,0)</f>
        <v>7.8252314814814816E-2</v>
      </c>
      <c r="AO44" s="261">
        <f ca="1">VLOOKUP(AN42,INDIRECT($BB$1),9,0)</f>
        <v>1.157407407407357E-4</v>
      </c>
      <c r="AP44" s="256"/>
      <c r="AR44" s="253"/>
      <c r="AS44" s="260">
        <f ca="1">VLOOKUP(AS42,INDIRECT($BB$1),8,0)</f>
        <v>8.2048611111111114E-2</v>
      </c>
      <c r="AT44" s="261">
        <f ca="1">VLOOKUP(AS42,INDIRECT($BB$1),9,0)</f>
        <v>3.9120370370370333E-3</v>
      </c>
      <c r="AU44" s="256"/>
      <c r="AW44" s="253"/>
      <c r="AX44" s="260">
        <f ca="1">VLOOKUP(AX42,INDIRECT($BB$1),8,0)</f>
        <v>7.8252314814814816E-2</v>
      </c>
      <c r="AY44" s="261">
        <f ca="1">VLOOKUP(AX42,INDIRECT($BB$1),9,0)</f>
        <v>1.157407407407357E-4</v>
      </c>
      <c r="AZ44" s="256"/>
    </row>
    <row r="45" spans="2:52" ht="3" customHeight="1" x14ac:dyDescent="0.3">
      <c r="B45" s="262"/>
      <c r="D45" s="263"/>
      <c r="E45" s="264"/>
      <c r="F45" s="264"/>
      <c r="G45" s="265"/>
      <c r="I45" s="263"/>
      <c r="J45" s="264"/>
      <c r="K45" s="264"/>
      <c r="L45" s="265"/>
      <c r="N45" s="263"/>
      <c r="O45" s="264"/>
      <c r="P45" s="264"/>
      <c r="Q45" s="265"/>
      <c r="T45" s="264"/>
      <c r="U45" s="264"/>
      <c r="V45" s="265"/>
      <c r="X45" s="263"/>
      <c r="Y45" s="264"/>
      <c r="Z45" s="264"/>
      <c r="AA45" s="265"/>
      <c r="AC45" s="263"/>
      <c r="AD45" s="264"/>
      <c r="AE45" s="264"/>
      <c r="AF45" s="265"/>
      <c r="AG45" s="264"/>
      <c r="AH45" s="263"/>
      <c r="AI45" s="264"/>
      <c r="AJ45" s="264"/>
      <c r="AK45" s="265"/>
      <c r="AL45" s="264"/>
      <c r="AM45" s="263"/>
      <c r="AN45" s="264"/>
      <c r="AO45" s="264"/>
      <c r="AP45" s="265"/>
      <c r="AR45" s="263"/>
      <c r="AS45" s="264"/>
      <c r="AT45" s="264"/>
      <c r="AU45" s="265"/>
      <c r="AW45" s="263"/>
      <c r="AX45" s="264"/>
      <c r="AY45" s="264"/>
      <c r="AZ45" s="265"/>
    </row>
    <row r="46" spans="2:52" ht="3" customHeight="1" x14ac:dyDescent="0.3"/>
    <row r="47" spans="2:52" ht="3" customHeight="1" x14ac:dyDescent="0.3">
      <c r="B47" s="248"/>
      <c r="D47" s="249"/>
      <c r="E47" s="250"/>
      <c r="F47" s="250"/>
      <c r="G47" s="251"/>
      <c r="I47" s="249"/>
      <c r="J47" s="250"/>
      <c r="K47" s="250"/>
      <c r="L47" s="251"/>
      <c r="N47" s="249"/>
      <c r="O47" s="250"/>
      <c r="P47" s="250"/>
      <c r="Q47" s="251"/>
      <c r="T47" s="250"/>
      <c r="U47" s="250"/>
      <c r="V47" s="251"/>
      <c r="X47" s="249"/>
      <c r="Y47" s="250"/>
      <c r="Z47" s="250"/>
      <c r="AA47" s="251"/>
      <c r="AC47" s="249"/>
      <c r="AD47" s="250"/>
      <c r="AE47" s="250"/>
      <c r="AF47" s="251"/>
      <c r="AG47" s="250"/>
      <c r="AH47" s="249"/>
      <c r="AI47" s="250"/>
      <c r="AJ47" s="250"/>
      <c r="AK47" s="251"/>
      <c r="AL47" s="250"/>
      <c r="AM47" s="249"/>
      <c r="AN47" s="250"/>
      <c r="AO47" s="250"/>
      <c r="AP47" s="251"/>
      <c r="AR47" s="249"/>
      <c r="AS47" s="250"/>
      <c r="AT47" s="250"/>
      <c r="AU47" s="251"/>
      <c r="AW47" s="249"/>
      <c r="AX47" s="250"/>
      <c r="AY47" s="250"/>
      <c r="AZ47" s="251"/>
    </row>
    <row r="48" spans="2:52" ht="18.75" customHeight="1" x14ac:dyDescent="0.3">
      <c r="B48" s="379" t="s">
        <v>257</v>
      </c>
      <c r="C48" s="252"/>
      <c r="D48" s="253"/>
      <c r="E48" s="254">
        <v>61</v>
      </c>
      <c r="F48" s="255">
        <f ca="1">VLOOKUP(E48,INDIRECT($BB$1),12,0)</f>
        <v>81</v>
      </c>
      <c r="G48" s="256"/>
      <c r="I48" s="253"/>
      <c r="J48" s="254">
        <v>62</v>
      </c>
      <c r="K48" s="255">
        <f ca="1">VLOOKUP(J48,INDIRECT($BB$1),12,0)</f>
        <v>78</v>
      </c>
      <c r="L48" s="256"/>
      <c r="N48" s="253"/>
      <c r="O48" s="254">
        <v>63</v>
      </c>
      <c r="P48" s="255">
        <f ca="1">VLOOKUP(O48,INDIRECT($BB$1),12,0)</f>
        <v>18</v>
      </c>
      <c r="Q48" s="256"/>
      <c r="T48" s="254">
        <v>64</v>
      </c>
      <c r="U48" s="255">
        <f ca="1">VLOOKUP(T48,INDIRECT($BB$1),12,0)</f>
        <v>82</v>
      </c>
      <c r="V48" s="256"/>
      <c r="X48" s="253"/>
      <c r="Y48" s="254">
        <v>65</v>
      </c>
      <c r="Z48" s="255" t="str">
        <f ca="1">VLOOKUP(Y48,INDIRECT($BB$1),12,0)</f>
        <v>DNF</v>
      </c>
      <c r="AA48" s="256"/>
      <c r="AC48" s="253"/>
      <c r="AD48" s="254">
        <v>66</v>
      </c>
      <c r="AE48" s="255">
        <f ca="1">VLOOKUP(AD48,INDIRECT($BB$1),12,0)</f>
        <v>72</v>
      </c>
      <c r="AF48" s="256"/>
      <c r="AG48" s="118"/>
      <c r="AH48" s="253"/>
      <c r="AI48" s="254">
        <v>67</v>
      </c>
      <c r="AJ48" s="255" t="str">
        <f ca="1">VLOOKUP(AI48,INDIRECT($BB$1),12,0)</f>
        <v>DNF</v>
      </c>
      <c r="AK48" s="256"/>
      <c r="AL48" s="118"/>
      <c r="AM48" s="253"/>
      <c r="AN48" s="254">
        <v>68</v>
      </c>
      <c r="AO48" s="255">
        <f ca="1">VLOOKUP(AN48,INDIRECT($BB$1),12,0)</f>
        <v>24</v>
      </c>
      <c r="AP48" s="256"/>
      <c r="AR48" s="253"/>
      <c r="AS48" s="254">
        <v>69</v>
      </c>
      <c r="AT48" s="255" t="str">
        <f ca="1">VLOOKUP(AS48,INDIRECT($BB$1),12,0)</f>
        <v>DNF</v>
      </c>
      <c r="AU48" s="256"/>
      <c r="AW48" s="253"/>
      <c r="AX48" s="254"/>
      <c r="AY48" s="255"/>
      <c r="AZ48" s="256"/>
    </row>
    <row r="49" spans="2:52" ht="12.15" customHeight="1" x14ac:dyDescent="0.3">
      <c r="B49" s="379"/>
      <c r="C49" s="252"/>
      <c r="D49" s="253"/>
      <c r="E49" s="380" t="str">
        <f>VLOOKUP(E48,STARTOVKA,3,0)</f>
        <v>COMMISSARIS Lucas</v>
      </c>
      <c r="F49" s="380"/>
      <c r="G49" s="257"/>
      <c r="H49" s="258"/>
      <c r="I49" s="259"/>
      <c r="J49" s="380" t="str">
        <f>VLOOKUP(J48,STARTOVKA,3,0)</f>
        <v>DEKKERS Robin</v>
      </c>
      <c r="K49" s="380"/>
      <c r="L49" s="257"/>
      <c r="M49" s="258"/>
      <c r="N49" s="259"/>
      <c r="O49" s="380" t="str">
        <f>VLOOKUP(O48,STARTOVKA,3,0)</f>
        <v>HUYGEN Wout</v>
      </c>
      <c r="P49" s="380"/>
      <c r="Q49" s="257"/>
      <c r="R49" s="258"/>
      <c r="S49" s="258"/>
      <c r="T49" s="380" t="str">
        <f>VLOOKUP(T48,STARTOVKA,3,0)</f>
        <v>KONINGS Frits</v>
      </c>
      <c r="U49" s="380"/>
      <c r="V49" s="257"/>
      <c r="W49" s="258"/>
      <c r="X49" s="259"/>
      <c r="Y49" s="380" t="str">
        <f>VLOOKUP(Y48,STARTOVKA,3,0)</f>
        <v>MARIS Elias</v>
      </c>
      <c r="Z49" s="380"/>
      <c r="AA49" s="257"/>
      <c r="AB49" s="258"/>
      <c r="AC49" s="259"/>
      <c r="AD49" s="380" t="str">
        <f>VLOOKUP(AD48,STARTOVKA,3,0)</f>
        <v>VAN GILS Maxim</v>
      </c>
      <c r="AE49" s="380"/>
      <c r="AF49" s="256"/>
      <c r="AG49" s="118"/>
      <c r="AH49" s="259"/>
      <c r="AI49" s="380" t="str">
        <f>VLOOKUP(AI48,STARTOVKA,3,0)</f>
        <v>VAN OEVELEN Wanne</v>
      </c>
      <c r="AJ49" s="380"/>
      <c r="AK49" s="257"/>
      <c r="AL49" s="118"/>
      <c r="AM49" s="259"/>
      <c r="AN49" s="380" t="str">
        <f>VLOOKUP(AN48,STARTOVKA,3,0)</f>
        <v>VAN STEENSEL Mats</v>
      </c>
      <c r="AO49" s="380"/>
      <c r="AP49" s="257"/>
      <c r="AQ49" s="258"/>
      <c r="AR49" s="259"/>
      <c r="AS49" s="380" t="str">
        <f>VLOOKUP(AS48,STARTOVKA,3,0)</f>
        <v>VAN LAER Jan</v>
      </c>
      <c r="AT49" s="380"/>
      <c r="AU49" s="257"/>
      <c r="AV49" s="258"/>
      <c r="AW49" s="259"/>
      <c r="AX49" s="380"/>
      <c r="AY49" s="380"/>
      <c r="AZ49" s="256"/>
    </row>
    <row r="50" spans="2:52" ht="18.75" customHeight="1" x14ac:dyDescent="0.3">
      <c r="B50" s="379"/>
      <c r="C50" s="252"/>
      <c r="D50" s="253"/>
      <c r="E50" s="260">
        <f ca="1">VLOOKUP(E48,INDIRECT($BB$1),8,0)</f>
        <v>7.885416666666667E-2</v>
      </c>
      <c r="F50" s="261">
        <f ca="1">VLOOKUP(E48,INDIRECT($BB$1),9,0)</f>
        <v>7.1759259259258912E-4</v>
      </c>
      <c r="G50" s="256"/>
      <c r="I50" s="253"/>
      <c r="J50" s="260">
        <f ca="1">VLOOKUP(J48,INDIRECT($BB$1),8,0)</f>
        <v>7.885416666666667E-2</v>
      </c>
      <c r="K50" s="261">
        <f ca="1">VLOOKUP(J48,INDIRECT($BB$1),9,0)</f>
        <v>7.1759259259258912E-4</v>
      </c>
      <c r="L50" s="256"/>
      <c r="N50" s="253"/>
      <c r="O50" s="260">
        <f ca="1">VLOOKUP(O48,INDIRECT($BB$1),8,0)</f>
        <v>7.8252314814814816E-2</v>
      </c>
      <c r="P50" s="261">
        <f ca="1">VLOOKUP(O48,INDIRECT($BB$1),9,0)</f>
        <v>1.157407407407357E-4</v>
      </c>
      <c r="Q50" s="256"/>
      <c r="T50" s="260">
        <f ca="1">VLOOKUP(T48,INDIRECT($BB$1),8,0)</f>
        <v>7.885416666666667E-2</v>
      </c>
      <c r="U50" s="261">
        <f ca="1">VLOOKUP(T48,INDIRECT($BB$1),9,0)</f>
        <v>7.1759259259258912E-4</v>
      </c>
      <c r="V50" s="256"/>
      <c r="X50" s="253"/>
      <c r="Y50" s="260" t="str">
        <f ca="1">VLOOKUP(Y48,INDIRECT($BB$1),8,0)</f>
        <v>DNF</v>
      </c>
      <c r="Z50" s="261" t="str">
        <f ca="1">VLOOKUP(Y48,INDIRECT($BB$1),9,0)</f>
        <v>DNF</v>
      </c>
      <c r="AA50" s="256"/>
      <c r="AC50" s="253"/>
      <c r="AD50" s="260">
        <f ca="1">VLOOKUP(AD48,INDIRECT($BB$1),8,0)</f>
        <v>7.856481481481481E-2</v>
      </c>
      <c r="AE50" s="261">
        <f ca="1">VLOOKUP(AD48,INDIRECT($BB$1),9,0)</f>
        <v>4.2824074074072904E-4</v>
      </c>
      <c r="AF50" s="256"/>
      <c r="AG50" s="118"/>
      <c r="AH50" s="253"/>
      <c r="AI50" s="260" t="str">
        <f ca="1">VLOOKUP(AI48,INDIRECT($BB$1),8,0)</f>
        <v>DNF</v>
      </c>
      <c r="AJ50" s="261" t="str">
        <f ca="1">VLOOKUP(AI48,INDIRECT($BB$1),9,0)</f>
        <v>DNF</v>
      </c>
      <c r="AK50" s="256"/>
      <c r="AL50" s="118"/>
      <c r="AM50" s="253"/>
      <c r="AN50" s="260">
        <f ca="1">VLOOKUP(AN48,INDIRECT($BB$1),8,0)</f>
        <v>7.8252314814814816E-2</v>
      </c>
      <c r="AO50" s="261">
        <f ca="1">VLOOKUP(AN48,INDIRECT($BB$1),9,0)</f>
        <v>1.157407407407357E-4</v>
      </c>
      <c r="AP50" s="256"/>
      <c r="AR50" s="253"/>
      <c r="AS50" s="260" t="str">
        <f ca="1">VLOOKUP(AS48,INDIRECT($BB$1),8,0)</f>
        <v>DNF</v>
      </c>
      <c r="AT50" s="261" t="str">
        <f ca="1">VLOOKUP(AS48,INDIRECT($BB$1),9,0)</f>
        <v>DNF</v>
      </c>
      <c r="AU50" s="256"/>
      <c r="AW50" s="253"/>
      <c r="AX50" s="260"/>
      <c r="AY50" s="261"/>
      <c r="AZ50" s="256"/>
    </row>
    <row r="51" spans="2:52" ht="3" customHeight="1" x14ac:dyDescent="0.3">
      <c r="B51" s="262"/>
      <c r="D51" s="263"/>
      <c r="E51" s="264"/>
      <c r="F51" s="264"/>
      <c r="G51" s="265"/>
      <c r="I51" s="263"/>
      <c r="J51" s="264"/>
      <c r="K51" s="264"/>
      <c r="L51" s="265"/>
      <c r="N51" s="263"/>
      <c r="O51" s="264"/>
      <c r="P51" s="264"/>
      <c r="Q51" s="265"/>
      <c r="T51" s="264"/>
      <c r="U51" s="264"/>
      <c r="V51" s="265"/>
      <c r="X51" s="263"/>
      <c r="Y51" s="264"/>
      <c r="Z51" s="264"/>
      <c r="AA51" s="265"/>
      <c r="AC51" s="263"/>
      <c r="AD51" s="264"/>
      <c r="AE51" s="264"/>
      <c r="AF51" s="265"/>
      <c r="AG51" s="264"/>
      <c r="AH51" s="263"/>
      <c r="AI51" s="264"/>
      <c r="AJ51" s="264"/>
      <c r="AK51" s="265"/>
      <c r="AL51" s="264"/>
      <c r="AM51" s="263"/>
      <c r="AN51" s="264"/>
      <c r="AO51" s="264"/>
      <c r="AP51" s="265"/>
      <c r="AR51" s="263"/>
      <c r="AS51" s="264"/>
      <c r="AT51" s="264"/>
      <c r="AU51" s="265"/>
      <c r="AW51" s="263"/>
      <c r="AX51" s="264"/>
      <c r="AY51" s="264"/>
      <c r="AZ51" s="265"/>
    </row>
    <row r="52" spans="2:52" ht="3" customHeight="1" x14ac:dyDescent="0.3"/>
    <row r="53" spans="2:52" ht="3" customHeight="1" x14ac:dyDescent="0.3">
      <c r="B53" s="248"/>
      <c r="D53" s="249"/>
      <c r="E53" s="250"/>
      <c r="F53" s="250"/>
      <c r="G53" s="251"/>
      <c r="I53" s="249"/>
      <c r="J53" s="250"/>
      <c r="K53" s="250"/>
      <c r="L53" s="251"/>
      <c r="N53" s="249"/>
      <c r="O53" s="250"/>
      <c r="P53" s="250"/>
      <c r="Q53" s="251"/>
      <c r="T53" s="250"/>
      <c r="U53" s="250"/>
      <c r="V53" s="251"/>
      <c r="X53" s="249"/>
      <c r="Y53" s="250"/>
      <c r="Z53" s="250"/>
      <c r="AA53" s="251"/>
      <c r="AC53" s="249"/>
      <c r="AD53" s="250"/>
      <c r="AE53" s="250"/>
      <c r="AF53" s="251"/>
      <c r="AG53" s="250"/>
      <c r="AH53" s="249"/>
      <c r="AI53" s="250"/>
      <c r="AJ53" s="250"/>
      <c r="AK53" s="251"/>
      <c r="AL53" s="250"/>
      <c r="AM53" s="249"/>
      <c r="AN53" s="250"/>
      <c r="AO53" s="250"/>
      <c r="AP53" s="251"/>
      <c r="AR53" s="249"/>
      <c r="AS53" s="250"/>
      <c r="AT53" s="250"/>
      <c r="AU53" s="251"/>
      <c r="AW53" s="249"/>
      <c r="AX53" s="250"/>
      <c r="AY53" s="250"/>
      <c r="AZ53" s="251"/>
    </row>
    <row r="54" spans="2:52" ht="18.75" customHeight="1" x14ac:dyDescent="0.3">
      <c r="B54" s="379" t="s">
        <v>651</v>
      </c>
      <c r="C54" s="252"/>
      <c r="D54" s="253"/>
      <c r="E54" s="254">
        <v>71</v>
      </c>
      <c r="F54" s="255">
        <f ca="1">VLOOKUP(E54,INDIRECT($BB$1),12,0)</f>
        <v>33</v>
      </c>
      <c r="G54" s="256"/>
      <c r="I54" s="253"/>
      <c r="J54" s="254">
        <v>72</v>
      </c>
      <c r="K54" s="255">
        <f ca="1">VLOOKUP(J54,INDIRECT($BB$1),12,0)</f>
        <v>77</v>
      </c>
      <c r="L54" s="256"/>
      <c r="N54" s="253"/>
      <c r="O54" s="254">
        <v>73</v>
      </c>
      <c r="P54" s="255">
        <f ca="1">VLOOKUP(O54,INDIRECT($BB$1),12,0)</f>
        <v>5</v>
      </c>
      <c r="Q54" s="256"/>
      <c r="T54" s="254">
        <v>74</v>
      </c>
      <c r="U54" s="255">
        <f ca="1">VLOOKUP(T54,INDIRECT($BB$1),12,0)</f>
        <v>116</v>
      </c>
      <c r="V54" s="256"/>
      <c r="X54" s="253"/>
      <c r="Y54" s="254">
        <v>75</v>
      </c>
      <c r="Z54" s="255">
        <f ca="1">VLOOKUP(Y54,INDIRECT($BB$1),12,0)</f>
        <v>6</v>
      </c>
      <c r="AA54" s="256"/>
      <c r="AC54" s="253"/>
      <c r="AD54" s="254">
        <v>76</v>
      </c>
      <c r="AE54" s="255">
        <f ca="1">VLOOKUP(AD54,INDIRECT($BB$1),12,0)</f>
        <v>64</v>
      </c>
      <c r="AF54" s="256"/>
      <c r="AG54" s="118"/>
      <c r="AH54" s="253"/>
      <c r="AI54" s="254">
        <v>77</v>
      </c>
      <c r="AJ54" s="255">
        <f ca="1">VLOOKUP(AI54,INDIRECT($BB$1),12,0)</f>
        <v>103</v>
      </c>
      <c r="AK54" s="256"/>
      <c r="AL54" s="118"/>
      <c r="AM54" s="253"/>
      <c r="AN54" s="254">
        <v>78</v>
      </c>
      <c r="AO54" s="255">
        <f ca="1">VLOOKUP(AN54,INDIRECT($BB$1),12,0)</f>
        <v>45</v>
      </c>
      <c r="AP54" s="256"/>
      <c r="AR54" s="253"/>
      <c r="AS54" s="254">
        <v>79</v>
      </c>
      <c r="AT54" s="255">
        <f ca="1">VLOOKUP(AS54,INDIRECT($BB$1),12,0)</f>
        <v>46</v>
      </c>
      <c r="AU54" s="256"/>
      <c r="AW54" s="253"/>
      <c r="AX54" s="254"/>
      <c r="AY54" s="255"/>
      <c r="AZ54" s="256"/>
    </row>
    <row r="55" spans="2:52" ht="12.15" customHeight="1" x14ac:dyDescent="0.3">
      <c r="B55" s="379"/>
      <c r="C55" s="252"/>
      <c r="D55" s="253"/>
      <c r="E55" s="380" t="str">
        <f>VLOOKUP(E54,STARTOVKA,3,0)</f>
        <v xml:space="preserve">KLABOUCH Petr </v>
      </c>
      <c r="F55" s="380"/>
      <c r="G55" s="257"/>
      <c r="H55" s="258"/>
      <c r="I55" s="259"/>
      <c r="J55" s="380" t="str">
        <f>VLOOKUP(J54,STARTOVKA,3,0)</f>
        <v xml:space="preserve">KRUMPHANZL Matyáš </v>
      </c>
      <c r="K55" s="380"/>
      <c r="L55" s="257"/>
      <c r="M55" s="258"/>
      <c r="N55" s="259"/>
      <c r="O55" s="380" t="str">
        <f>VLOOKUP(O54,STARTOVKA,3,0)</f>
        <v xml:space="preserve">BABOR Daniel </v>
      </c>
      <c r="P55" s="380"/>
      <c r="Q55" s="257"/>
      <c r="R55" s="258"/>
      <c r="S55" s="258"/>
      <c r="T55" s="380" t="str">
        <f>VLOOKUP(T54,STARTOVKA,3,0)</f>
        <v xml:space="preserve">KOUDELA Dominik </v>
      </c>
      <c r="U55" s="380"/>
      <c r="V55" s="257"/>
      <c r="W55" s="258"/>
      <c r="X55" s="259"/>
      <c r="Y55" s="380" t="str">
        <f>VLOOKUP(Y54,STARTOVKA,3,0)</f>
        <v xml:space="preserve">SPUDIL Martin </v>
      </c>
      <c r="Z55" s="380"/>
      <c r="AA55" s="257"/>
      <c r="AB55" s="258"/>
      <c r="AC55" s="259"/>
      <c r="AD55" s="380" t="str">
        <f>VLOOKUP(AD54,STARTOVKA,3,0)</f>
        <v xml:space="preserve">ŠTIBINGR Matěj </v>
      </c>
      <c r="AE55" s="380"/>
      <c r="AF55" s="256"/>
      <c r="AG55" s="118"/>
      <c r="AH55" s="259"/>
      <c r="AI55" s="380" t="str">
        <f>VLOOKUP(AI54,STARTOVKA,3,0)</f>
        <v>PENNINCK Jens</v>
      </c>
      <c r="AJ55" s="380"/>
      <c r="AK55" s="257"/>
      <c r="AL55" s="118"/>
      <c r="AM55" s="259"/>
      <c r="AN55" s="380" t="str">
        <f>VLOOKUP(AN54,STARTOVKA,3,0)</f>
        <v xml:space="preserve">BÁRTEK David </v>
      </c>
      <c r="AO55" s="380"/>
      <c r="AP55" s="257"/>
      <c r="AQ55" s="258"/>
      <c r="AR55" s="259"/>
      <c r="AS55" s="380" t="str">
        <f>VLOOKUP(AS54,STARTOVKA,3,0)</f>
        <v xml:space="preserve">MACEK Michal </v>
      </c>
      <c r="AT55" s="380"/>
      <c r="AU55" s="257"/>
      <c r="AV55" s="258"/>
      <c r="AW55" s="259"/>
      <c r="AX55" s="380"/>
      <c r="AY55" s="380"/>
      <c r="AZ55" s="256"/>
    </row>
    <row r="56" spans="2:52" ht="18.75" customHeight="1" x14ac:dyDescent="0.3">
      <c r="B56" s="379"/>
      <c r="C56" s="252"/>
      <c r="D56" s="253"/>
      <c r="E56" s="260">
        <f ca="1">VLOOKUP(E54,INDIRECT($BB$1),8,0)</f>
        <v>7.8252314814814816E-2</v>
      </c>
      <c r="F56" s="261">
        <f ca="1">VLOOKUP(E54,INDIRECT($BB$1),9,0)</f>
        <v>1.157407407407357E-4</v>
      </c>
      <c r="G56" s="256"/>
      <c r="I56" s="253"/>
      <c r="J56" s="260">
        <f ca="1">VLOOKUP(J54,INDIRECT($BB$1),8,0)</f>
        <v>7.856481481481481E-2</v>
      </c>
      <c r="K56" s="261">
        <f ca="1">VLOOKUP(J54,INDIRECT($BB$1),9,0)</f>
        <v>4.2824074074072904E-4</v>
      </c>
      <c r="L56" s="256"/>
      <c r="N56" s="253"/>
      <c r="O56" s="260">
        <f ca="1">VLOOKUP(O54,INDIRECT($BB$1),8,0)</f>
        <v>7.8252314814814816E-2</v>
      </c>
      <c r="P56" s="261">
        <f ca="1">VLOOKUP(O54,INDIRECT($BB$1),9,0)</f>
        <v>1.157407407407357E-4</v>
      </c>
      <c r="Q56" s="256"/>
      <c r="T56" s="260">
        <f ca="1">VLOOKUP(T54,INDIRECT($BB$1),8,0)</f>
        <v>8.9189814814814819E-2</v>
      </c>
      <c r="U56" s="261">
        <f ca="1">VLOOKUP(T54,INDIRECT($BB$1),9,0)</f>
        <v>1.1053240740740738E-2</v>
      </c>
      <c r="V56" s="256"/>
      <c r="X56" s="253"/>
      <c r="Y56" s="260">
        <f ca="1">VLOOKUP(Y54,INDIRECT($BB$1),8,0)</f>
        <v>7.8252314814814816E-2</v>
      </c>
      <c r="Z56" s="261">
        <f ca="1">VLOOKUP(Y54,INDIRECT($BB$1),9,0)</f>
        <v>1.157407407407357E-4</v>
      </c>
      <c r="AA56" s="256"/>
      <c r="AC56" s="253"/>
      <c r="AD56" s="260">
        <f ca="1">VLOOKUP(AD54,INDIRECT($BB$1),8,0)</f>
        <v>7.8252314814814816E-2</v>
      </c>
      <c r="AE56" s="261">
        <f ca="1">VLOOKUP(AD54,INDIRECT($BB$1),9,0)</f>
        <v>1.157407407407357E-4</v>
      </c>
      <c r="AF56" s="256"/>
      <c r="AG56" s="118"/>
      <c r="AH56" s="253"/>
      <c r="AI56" s="260">
        <f ca="1">VLOOKUP(AI54,INDIRECT($BB$1),8,0)</f>
        <v>8.5104166666666661E-2</v>
      </c>
      <c r="AJ56" s="261">
        <f ca="1">VLOOKUP(AI54,INDIRECT($BB$1),9,0)</f>
        <v>6.9675925925925808E-3</v>
      </c>
      <c r="AK56" s="256"/>
      <c r="AL56" s="118"/>
      <c r="AM56" s="253"/>
      <c r="AN56" s="260">
        <f ca="1">VLOOKUP(AN54,INDIRECT($BB$1),8,0)</f>
        <v>7.8252314814814816E-2</v>
      </c>
      <c r="AO56" s="261">
        <f ca="1">VLOOKUP(AN54,INDIRECT($BB$1),9,0)</f>
        <v>1.157407407407357E-4</v>
      </c>
      <c r="AP56" s="256"/>
      <c r="AR56" s="253"/>
      <c r="AS56" s="260">
        <f ca="1">VLOOKUP(AS54,INDIRECT($BB$1),8,0)</f>
        <v>7.8252314814814816E-2</v>
      </c>
      <c r="AT56" s="261">
        <f ca="1">VLOOKUP(AS54,INDIRECT($BB$1),9,0)</f>
        <v>1.157407407407357E-4</v>
      </c>
      <c r="AU56" s="256"/>
      <c r="AW56" s="253"/>
      <c r="AX56" s="260"/>
      <c r="AY56" s="261"/>
      <c r="AZ56" s="256"/>
    </row>
    <row r="57" spans="2:52" ht="3" customHeight="1" x14ac:dyDescent="0.3">
      <c r="B57" s="262"/>
      <c r="D57" s="263"/>
      <c r="E57" s="264"/>
      <c r="F57" s="264"/>
      <c r="G57" s="265"/>
      <c r="I57" s="263"/>
      <c r="J57" s="264"/>
      <c r="K57" s="264"/>
      <c r="L57" s="265"/>
      <c r="N57" s="263"/>
      <c r="O57" s="264"/>
      <c r="P57" s="264"/>
      <c r="Q57" s="265"/>
      <c r="T57" s="264"/>
      <c r="U57" s="264"/>
      <c r="V57" s="265"/>
      <c r="X57" s="263"/>
      <c r="Y57" s="264"/>
      <c r="Z57" s="264"/>
      <c r="AA57" s="265"/>
      <c r="AC57" s="263"/>
      <c r="AD57" s="264"/>
      <c r="AE57" s="264"/>
      <c r="AF57" s="265"/>
      <c r="AG57" s="264"/>
      <c r="AH57" s="263"/>
      <c r="AI57" s="264"/>
      <c r="AJ57" s="264"/>
      <c r="AK57" s="265"/>
      <c r="AL57" s="264"/>
      <c r="AM57" s="263"/>
      <c r="AN57" s="264"/>
      <c r="AO57" s="264"/>
      <c r="AP57" s="265"/>
      <c r="AR57" s="263"/>
      <c r="AS57" s="264"/>
      <c r="AT57" s="264"/>
      <c r="AU57" s="265"/>
      <c r="AW57" s="263"/>
      <c r="AX57" s="264"/>
      <c r="AY57" s="264"/>
      <c r="AZ57" s="265"/>
    </row>
    <row r="58" spans="2:52" ht="3" customHeight="1" x14ac:dyDescent="0.3"/>
    <row r="59" spans="2:52" ht="3" customHeight="1" x14ac:dyDescent="0.3">
      <c r="B59" s="248"/>
      <c r="D59" s="249"/>
      <c r="E59" s="250"/>
      <c r="F59" s="250"/>
      <c r="G59" s="251"/>
      <c r="I59" s="249"/>
      <c r="J59" s="250"/>
      <c r="K59" s="250"/>
      <c r="L59" s="251"/>
      <c r="N59" s="249"/>
      <c r="O59" s="250"/>
      <c r="P59" s="250"/>
      <c r="Q59" s="251"/>
      <c r="T59" s="250"/>
      <c r="U59" s="250"/>
      <c r="V59" s="251"/>
      <c r="X59" s="249"/>
      <c r="Y59" s="250"/>
      <c r="Z59" s="250"/>
      <c r="AA59" s="251"/>
      <c r="AC59" s="249"/>
      <c r="AD59" s="250"/>
      <c r="AE59" s="250"/>
      <c r="AF59" s="251"/>
      <c r="AG59" s="250"/>
      <c r="AH59" s="249"/>
      <c r="AI59" s="250"/>
      <c r="AJ59" s="250"/>
      <c r="AK59" s="251"/>
      <c r="AL59" s="250"/>
      <c r="AM59" s="249"/>
      <c r="AN59" s="250"/>
      <c r="AO59" s="250"/>
      <c r="AP59" s="251"/>
      <c r="AR59" s="249"/>
      <c r="AS59" s="250"/>
      <c r="AT59" s="250"/>
      <c r="AU59" s="251"/>
      <c r="AW59" s="249"/>
      <c r="AX59" s="250"/>
      <c r="AY59" s="250"/>
      <c r="AZ59" s="251"/>
    </row>
    <row r="60" spans="2:52" ht="18.75" customHeight="1" x14ac:dyDescent="0.3">
      <c r="B60" s="379" t="s">
        <v>134</v>
      </c>
      <c r="C60" s="252"/>
      <c r="D60" s="253"/>
      <c r="E60" s="254">
        <v>81</v>
      </c>
      <c r="F60" s="255">
        <f ca="1">VLOOKUP(E60,INDIRECT($BB$1),12,0)</f>
        <v>8</v>
      </c>
      <c r="G60" s="256"/>
      <c r="I60" s="253"/>
      <c r="J60" s="254">
        <v>82</v>
      </c>
      <c r="K60" s="255">
        <f ca="1">VLOOKUP(J60,INDIRECT($BB$1),12,0)</f>
        <v>73</v>
      </c>
      <c r="L60" s="256"/>
      <c r="N60" s="253"/>
      <c r="O60" s="254">
        <v>83</v>
      </c>
      <c r="P60" s="255">
        <f ca="1">VLOOKUP(O60,INDIRECT($BB$1),12,0)</f>
        <v>19</v>
      </c>
      <c r="Q60" s="256"/>
      <c r="T60" s="254">
        <v>84</v>
      </c>
      <c r="U60" s="255">
        <f ca="1">VLOOKUP(T60,INDIRECT($BB$1),12,0)</f>
        <v>3</v>
      </c>
      <c r="V60" s="256"/>
      <c r="X60" s="253"/>
      <c r="Y60" s="254">
        <v>85</v>
      </c>
      <c r="Z60" s="255">
        <f ca="1">VLOOKUP(Y60,INDIRECT($BB$1),12,0)</f>
        <v>61</v>
      </c>
      <c r="AA60" s="256"/>
      <c r="AC60" s="253"/>
      <c r="AD60" s="254">
        <v>86</v>
      </c>
      <c r="AE60" s="255">
        <f ca="1">VLOOKUP(AD60,INDIRECT($BB$1),12,0)</f>
        <v>21</v>
      </c>
      <c r="AF60" s="256"/>
      <c r="AG60" s="118"/>
      <c r="AH60" s="253"/>
      <c r="AI60" s="254"/>
      <c r="AJ60" s="255"/>
      <c r="AK60" s="256"/>
      <c r="AL60" s="118"/>
      <c r="AM60" s="253"/>
      <c r="AN60" s="254"/>
      <c r="AO60" s="255"/>
      <c r="AP60" s="256"/>
      <c r="AR60" s="253"/>
      <c r="AS60" s="254"/>
      <c r="AT60" s="255"/>
      <c r="AU60" s="256"/>
      <c r="AW60" s="253"/>
      <c r="AX60" s="254"/>
      <c r="AY60" s="255"/>
      <c r="AZ60" s="256"/>
    </row>
    <row r="61" spans="2:52" ht="12.15" customHeight="1" x14ac:dyDescent="0.3">
      <c r="B61" s="379"/>
      <c r="C61" s="252"/>
      <c r="D61" s="253"/>
      <c r="E61" s="380" t="str">
        <f>VLOOKUP(E60,STARTOVKA,3,0)</f>
        <v>HAUPT Tarik</v>
      </c>
      <c r="F61" s="380"/>
      <c r="G61" s="257"/>
      <c r="H61" s="258"/>
      <c r="I61" s="259"/>
      <c r="J61" s="380" t="str">
        <f>VLOOKUP(J60,STARTOVKA,3,0)</f>
        <v>MEILER Martin</v>
      </c>
      <c r="K61" s="380"/>
      <c r="L61" s="257"/>
      <c r="M61" s="258"/>
      <c r="N61" s="259"/>
      <c r="O61" s="380" t="str">
        <f>VLOOKUP(O60,STARTOVKA,3,0)</f>
        <v>MÖBIS Maximilian</v>
      </c>
      <c r="P61" s="380"/>
      <c r="Q61" s="257"/>
      <c r="R61" s="258"/>
      <c r="S61" s="258"/>
      <c r="T61" s="380" t="str">
        <f>VLOOKUP(T60,STARTOVKA,3,0)</f>
        <v>RUDOLPH Poul</v>
      </c>
      <c r="U61" s="380"/>
      <c r="V61" s="257"/>
      <c r="W61" s="258"/>
      <c r="X61" s="259"/>
      <c r="Y61" s="380" t="str">
        <f>VLOOKUP(Y60,STARTOVKA,3,0)</f>
        <v>URNAUER Lauritz</v>
      </c>
      <c r="Z61" s="380"/>
      <c r="AA61" s="257"/>
      <c r="AB61" s="258"/>
      <c r="AC61" s="259"/>
      <c r="AD61" s="380" t="str">
        <f>VLOOKUP(AD60,STARTOVKA,3,0)</f>
        <v>PLAMBECK Philipp</v>
      </c>
      <c r="AE61" s="380"/>
      <c r="AF61" s="256"/>
      <c r="AG61" s="118"/>
      <c r="AH61" s="259"/>
      <c r="AI61" s="380"/>
      <c r="AJ61" s="380"/>
      <c r="AK61" s="257"/>
      <c r="AL61" s="118"/>
      <c r="AM61" s="259"/>
      <c r="AN61" s="380"/>
      <c r="AO61" s="380"/>
      <c r="AP61" s="257"/>
      <c r="AQ61" s="258"/>
      <c r="AR61" s="259"/>
      <c r="AS61" s="380"/>
      <c r="AT61" s="380"/>
      <c r="AU61" s="257"/>
      <c r="AV61" s="258"/>
      <c r="AW61" s="259"/>
      <c r="AX61" s="380"/>
      <c r="AY61" s="380"/>
      <c r="AZ61" s="256"/>
    </row>
    <row r="62" spans="2:52" ht="18.75" customHeight="1" x14ac:dyDescent="0.3">
      <c r="B62" s="379"/>
      <c r="C62" s="252"/>
      <c r="D62" s="253"/>
      <c r="E62" s="260">
        <f ca="1">VLOOKUP(E60,INDIRECT($BB$1),8,0)</f>
        <v>7.8252314814814816E-2</v>
      </c>
      <c r="F62" s="261">
        <f ca="1">VLOOKUP(E60,INDIRECT($BB$1),9,0)</f>
        <v>1.157407407407357E-4</v>
      </c>
      <c r="G62" s="256"/>
      <c r="I62" s="253"/>
      <c r="J62" s="260">
        <f ca="1">VLOOKUP(J60,INDIRECT($BB$1),8,0)</f>
        <v>7.856481481481481E-2</v>
      </c>
      <c r="K62" s="261">
        <f ca="1">VLOOKUP(J60,INDIRECT($BB$1),9,0)</f>
        <v>4.2824074074072904E-4</v>
      </c>
      <c r="L62" s="256"/>
      <c r="N62" s="253"/>
      <c r="O62" s="260">
        <f ca="1">VLOOKUP(O60,INDIRECT($BB$1),8,0)</f>
        <v>7.8252314814814816E-2</v>
      </c>
      <c r="P62" s="261">
        <f ca="1">VLOOKUP(O60,INDIRECT($BB$1),9,0)</f>
        <v>1.157407407407357E-4</v>
      </c>
      <c r="Q62" s="256"/>
      <c r="T62" s="260">
        <f ca="1">VLOOKUP(T60,INDIRECT($BB$1),8,0)</f>
        <v>7.8206018518518522E-2</v>
      </c>
      <c r="U62" s="261">
        <f ca="1">VLOOKUP(T60,INDIRECT($BB$1),9,0)</f>
        <v>6.9444444444441422E-5</v>
      </c>
      <c r="V62" s="256"/>
      <c r="X62" s="253"/>
      <c r="Y62" s="260">
        <f ca="1">VLOOKUP(Y60,INDIRECT($BB$1),8,0)</f>
        <v>7.8252314814814816E-2</v>
      </c>
      <c r="Z62" s="261">
        <f ca="1">VLOOKUP(Y60,INDIRECT($BB$1),9,0)</f>
        <v>1.157407407407357E-4</v>
      </c>
      <c r="AA62" s="256"/>
      <c r="AC62" s="253"/>
      <c r="AD62" s="260">
        <f ca="1">VLOOKUP(AD60,INDIRECT($BB$1),8,0)</f>
        <v>7.8252314814814816E-2</v>
      </c>
      <c r="AE62" s="261">
        <f ca="1">VLOOKUP(AD60,INDIRECT($BB$1),9,0)</f>
        <v>1.157407407407357E-4</v>
      </c>
      <c r="AF62" s="256"/>
      <c r="AG62" s="118"/>
      <c r="AH62" s="253"/>
      <c r="AI62" s="260"/>
      <c r="AJ62" s="261"/>
      <c r="AK62" s="256"/>
      <c r="AL62" s="118"/>
      <c r="AM62" s="253"/>
      <c r="AN62" s="260"/>
      <c r="AO62" s="261"/>
      <c r="AP62" s="256"/>
      <c r="AR62" s="253"/>
      <c r="AS62" s="260"/>
      <c r="AT62" s="261"/>
      <c r="AU62" s="256"/>
      <c r="AW62" s="253"/>
      <c r="AX62" s="260"/>
      <c r="AY62" s="261"/>
      <c r="AZ62" s="256"/>
    </row>
    <row r="63" spans="2:52" ht="3" customHeight="1" x14ac:dyDescent="0.3">
      <c r="B63" s="262"/>
      <c r="D63" s="263"/>
      <c r="E63" s="264"/>
      <c r="F63" s="264"/>
      <c r="G63" s="265"/>
      <c r="I63" s="263"/>
      <c r="J63" s="264"/>
      <c r="K63" s="264"/>
      <c r="L63" s="265"/>
      <c r="N63" s="263"/>
      <c r="O63" s="264"/>
      <c r="P63" s="264"/>
      <c r="Q63" s="265"/>
      <c r="T63" s="264"/>
      <c r="U63" s="264"/>
      <c r="V63" s="265"/>
      <c r="X63" s="263"/>
      <c r="Y63" s="264"/>
      <c r="Z63" s="264"/>
      <c r="AA63" s="265"/>
      <c r="AC63" s="263"/>
      <c r="AD63" s="264"/>
      <c r="AE63" s="264"/>
      <c r="AF63" s="265"/>
      <c r="AG63" s="264"/>
      <c r="AH63" s="263"/>
      <c r="AI63" s="264"/>
      <c r="AJ63" s="264"/>
      <c r="AK63" s="265"/>
      <c r="AL63" s="264"/>
      <c r="AM63" s="263"/>
      <c r="AN63" s="264"/>
      <c r="AO63" s="264"/>
      <c r="AP63" s="265"/>
      <c r="AR63" s="263"/>
      <c r="AS63" s="264"/>
      <c r="AT63" s="264"/>
      <c r="AU63" s="265"/>
      <c r="AW63" s="263"/>
      <c r="AX63" s="264"/>
      <c r="AY63" s="264"/>
      <c r="AZ63" s="265"/>
    </row>
    <row r="64" spans="2:52" ht="3" customHeight="1" x14ac:dyDescent="0.3"/>
    <row r="65" spans="2:52" ht="3" customHeight="1" x14ac:dyDescent="0.3">
      <c r="B65" s="248"/>
      <c r="D65" s="249"/>
      <c r="E65" s="250"/>
      <c r="F65" s="250"/>
      <c r="G65" s="251"/>
      <c r="I65" s="249"/>
      <c r="J65" s="250"/>
      <c r="K65" s="250"/>
      <c r="L65" s="251"/>
      <c r="N65" s="249"/>
      <c r="O65" s="250"/>
      <c r="P65" s="250"/>
      <c r="Q65" s="251"/>
      <c r="T65" s="250"/>
      <c r="U65" s="250"/>
      <c r="V65" s="251"/>
      <c r="X65" s="249"/>
      <c r="Y65" s="250"/>
      <c r="Z65" s="250"/>
      <c r="AA65" s="251"/>
      <c r="AC65" s="249"/>
      <c r="AD65" s="250"/>
      <c r="AE65" s="250"/>
      <c r="AF65" s="251"/>
      <c r="AG65" s="250"/>
      <c r="AH65" s="249"/>
      <c r="AI65" s="250"/>
      <c r="AJ65" s="250"/>
      <c r="AK65" s="251"/>
      <c r="AL65" s="250"/>
      <c r="AM65" s="249"/>
      <c r="AN65" s="250"/>
      <c r="AO65" s="250"/>
      <c r="AP65" s="251"/>
      <c r="AR65" s="249"/>
      <c r="AS65" s="250"/>
      <c r="AT65" s="250"/>
      <c r="AU65" s="251"/>
      <c r="AW65" s="249"/>
      <c r="AX65" s="250"/>
      <c r="AY65" s="250"/>
      <c r="AZ65" s="251"/>
    </row>
    <row r="66" spans="2:52" ht="18.75" customHeight="1" x14ac:dyDescent="0.3">
      <c r="B66" s="379" t="s">
        <v>242</v>
      </c>
      <c r="C66" s="252"/>
      <c r="D66" s="253"/>
      <c r="E66" s="254">
        <v>91</v>
      </c>
      <c r="F66" s="255">
        <f ca="1">VLOOKUP(E66,INDIRECT($BB$1),12,0)</f>
        <v>84</v>
      </c>
      <c r="G66" s="256"/>
      <c r="I66" s="253"/>
      <c r="J66" s="254">
        <v>92</v>
      </c>
      <c r="K66" s="255">
        <f ca="1">VLOOKUP(J66,INDIRECT($BB$1),12,0)</f>
        <v>40</v>
      </c>
      <c r="L66" s="256"/>
      <c r="N66" s="253"/>
      <c r="O66" s="254">
        <v>93</v>
      </c>
      <c r="P66" s="255">
        <f ca="1">VLOOKUP(O66,INDIRECT($BB$1),12,0)</f>
        <v>114</v>
      </c>
      <c r="Q66" s="256"/>
      <c r="T66" s="254">
        <v>94</v>
      </c>
      <c r="U66" s="255">
        <f ca="1">VLOOKUP(T66,INDIRECT($BB$1),12,0)</f>
        <v>38</v>
      </c>
      <c r="V66" s="256"/>
      <c r="X66" s="253"/>
      <c r="Y66" s="254">
        <v>95</v>
      </c>
      <c r="Z66" s="255">
        <f ca="1">VLOOKUP(Y66,INDIRECT($BB$1),12,0)</f>
        <v>13</v>
      </c>
      <c r="AA66" s="256"/>
      <c r="AC66" s="253"/>
      <c r="AD66" s="254">
        <v>96</v>
      </c>
      <c r="AE66" s="255">
        <f ca="1">VLOOKUP(AD66,INDIRECT($BB$1),12,0)</f>
        <v>128</v>
      </c>
      <c r="AF66" s="256"/>
      <c r="AG66" s="118"/>
      <c r="AH66" s="253"/>
      <c r="AI66" s="254"/>
      <c r="AJ66" s="255"/>
      <c r="AK66" s="256"/>
      <c r="AL66" s="118"/>
      <c r="AM66" s="253"/>
      <c r="AN66" s="254"/>
      <c r="AO66" s="255"/>
      <c r="AP66" s="256"/>
      <c r="AR66" s="253"/>
      <c r="AS66" s="254"/>
      <c r="AT66" s="255"/>
      <c r="AU66" s="256"/>
      <c r="AW66" s="253"/>
      <c r="AX66" s="254"/>
      <c r="AY66" s="255"/>
      <c r="AZ66" s="256"/>
    </row>
    <row r="67" spans="2:52" ht="12.15" customHeight="1" x14ac:dyDescent="0.3">
      <c r="B67" s="379"/>
      <c r="C67" s="252"/>
      <c r="D67" s="253"/>
      <c r="E67" s="380" t="str">
        <f>VLOOKUP(E66,STARTOVKA,3,0)</f>
        <v>BRANDT Nicolas</v>
      </c>
      <c r="F67" s="380"/>
      <c r="G67" s="257"/>
      <c r="H67" s="258"/>
      <c r="I67" s="259"/>
      <c r="J67" s="380" t="str">
        <f>VLOOKUP(J66,STARTOVKA,3,0)</f>
        <v>DREIER Fabian</v>
      </c>
      <c r="K67" s="380"/>
      <c r="L67" s="257"/>
      <c r="M67" s="258"/>
      <c r="N67" s="259"/>
      <c r="O67" s="380" t="str">
        <f>VLOOKUP(O66,STARTOVKA,3,0)</f>
        <v>GRABOWSKY Joe</v>
      </c>
      <c r="P67" s="380"/>
      <c r="Q67" s="257"/>
      <c r="R67" s="258"/>
      <c r="S67" s="258"/>
      <c r="T67" s="380" t="str">
        <f>VLOOKUP(T66,STARTOVKA,3,0)</f>
        <v>HOLTZ Christopher</v>
      </c>
      <c r="U67" s="380"/>
      <c r="V67" s="257"/>
      <c r="W67" s="258"/>
      <c r="X67" s="259"/>
      <c r="Y67" s="380" t="str">
        <f>VLOOKUP(Y66,STARTOVKA,3,0)</f>
        <v>KUNERT Pepe</v>
      </c>
      <c r="Z67" s="380"/>
      <c r="AA67" s="257"/>
      <c r="AB67" s="258"/>
      <c r="AC67" s="259"/>
      <c r="AD67" s="380" t="str">
        <f>VLOOKUP(AD66,STARTOVKA,3,0)</f>
        <v>BAUMANN Kian</v>
      </c>
      <c r="AE67" s="380"/>
      <c r="AF67" s="256"/>
      <c r="AG67" s="118"/>
      <c r="AH67" s="259"/>
      <c r="AI67" s="380"/>
      <c r="AJ67" s="380"/>
      <c r="AK67" s="257"/>
      <c r="AL67" s="118"/>
      <c r="AM67" s="259"/>
      <c r="AN67" s="380"/>
      <c r="AO67" s="380"/>
      <c r="AP67" s="257"/>
      <c r="AQ67" s="258"/>
      <c r="AR67" s="259"/>
      <c r="AS67" s="380"/>
      <c r="AT67" s="380"/>
      <c r="AU67" s="257"/>
      <c r="AV67" s="258"/>
      <c r="AW67" s="259"/>
      <c r="AX67" s="380"/>
      <c r="AY67" s="380"/>
      <c r="AZ67" s="256"/>
    </row>
    <row r="68" spans="2:52" ht="18.75" customHeight="1" x14ac:dyDescent="0.3">
      <c r="B68" s="379"/>
      <c r="C68" s="252"/>
      <c r="D68" s="253"/>
      <c r="E68" s="260">
        <f ca="1">VLOOKUP(E66,INDIRECT($BB$1),8,0)</f>
        <v>8.0497685185185186E-2</v>
      </c>
      <c r="F68" s="261">
        <f ca="1">VLOOKUP(E66,INDIRECT($BB$1),9,0)</f>
        <v>2.3611111111111055E-3</v>
      </c>
      <c r="G68" s="256"/>
      <c r="I68" s="253"/>
      <c r="J68" s="260">
        <f ca="1">VLOOKUP(J66,INDIRECT($BB$1),8,0)</f>
        <v>7.8252314814814816E-2</v>
      </c>
      <c r="K68" s="261">
        <f ca="1">VLOOKUP(J66,INDIRECT($BB$1),9,0)</f>
        <v>1.157407407407357E-4</v>
      </c>
      <c r="L68" s="256"/>
      <c r="N68" s="253"/>
      <c r="O68" s="260">
        <f ca="1">VLOOKUP(O66,INDIRECT($BB$1),8,0)</f>
        <v>8.9189814814814819E-2</v>
      </c>
      <c r="P68" s="261">
        <f ca="1">VLOOKUP(O66,INDIRECT($BB$1),9,0)</f>
        <v>1.1053240740740738E-2</v>
      </c>
      <c r="Q68" s="256"/>
      <c r="T68" s="260">
        <f ca="1">VLOOKUP(T66,INDIRECT($BB$1),8,0)</f>
        <v>7.8252314814814816E-2</v>
      </c>
      <c r="U68" s="261">
        <f ca="1">VLOOKUP(T66,INDIRECT($BB$1),9,0)</f>
        <v>1.157407407407357E-4</v>
      </c>
      <c r="V68" s="256"/>
      <c r="X68" s="253"/>
      <c r="Y68" s="260">
        <f ca="1">VLOOKUP(Y66,INDIRECT($BB$1),8,0)</f>
        <v>7.8252314814814816E-2</v>
      </c>
      <c r="Z68" s="261">
        <f ca="1">VLOOKUP(Y66,INDIRECT($BB$1),9,0)</f>
        <v>1.157407407407357E-4</v>
      </c>
      <c r="AA68" s="256"/>
      <c r="AC68" s="253"/>
      <c r="AD68" s="260">
        <f ca="1">VLOOKUP(AD66,INDIRECT($BB$1),8,0)</f>
        <v>0.10581018518518519</v>
      </c>
      <c r="AE68" s="261">
        <f ca="1">VLOOKUP(AD66,INDIRECT($BB$1),9,0)</f>
        <v>2.7673611111111107E-2</v>
      </c>
      <c r="AF68" s="256"/>
      <c r="AG68" s="118"/>
      <c r="AH68" s="253"/>
      <c r="AI68" s="260"/>
      <c r="AJ68" s="261"/>
      <c r="AK68" s="256"/>
      <c r="AL68" s="118"/>
      <c r="AM68" s="253"/>
      <c r="AN68" s="260"/>
      <c r="AO68" s="261"/>
      <c r="AP68" s="256"/>
      <c r="AR68" s="253"/>
      <c r="AS68" s="260"/>
      <c r="AT68" s="261"/>
      <c r="AU68" s="256"/>
      <c r="AW68" s="253"/>
      <c r="AX68" s="260"/>
      <c r="AY68" s="261"/>
      <c r="AZ68" s="256"/>
    </row>
    <row r="69" spans="2:52" ht="3" customHeight="1" x14ac:dyDescent="0.3">
      <c r="B69" s="262"/>
      <c r="D69" s="263"/>
      <c r="E69" s="264"/>
      <c r="F69" s="264"/>
      <c r="G69" s="265"/>
      <c r="I69" s="263"/>
      <c r="J69" s="264"/>
      <c r="K69" s="264"/>
      <c r="L69" s="265"/>
      <c r="N69" s="263"/>
      <c r="O69" s="264"/>
      <c r="P69" s="264"/>
      <c r="Q69" s="265"/>
      <c r="T69" s="264"/>
      <c r="U69" s="264"/>
      <c r="V69" s="265"/>
      <c r="X69" s="263"/>
      <c r="Y69" s="264"/>
      <c r="Z69" s="264"/>
      <c r="AA69" s="265"/>
      <c r="AC69" s="263"/>
      <c r="AD69" s="264"/>
      <c r="AE69" s="264"/>
      <c r="AF69" s="265"/>
      <c r="AG69" s="264"/>
      <c r="AH69" s="263"/>
      <c r="AI69" s="264"/>
      <c r="AJ69" s="264"/>
      <c r="AK69" s="265"/>
      <c r="AL69" s="264"/>
      <c r="AM69" s="263"/>
      <c r="AN69" s="264"/>
      <c r="AO69" s="264"/>
      <c r="AP69" s="265"/>
      <c r="AR69" s="263"/>
      <c r="AS69" s="264"/>
      <c r="AT69" s="264"/>
      <c r="AU69" s="265"/>
      <c r="AW69" s="263"/>
      <c r="AX69" s="264"/>
      <c r="AY69" s="264"/>
      <c r="AZ69" s="265"/>
    </row>
    <row r="70" spans="2:52" ht="3" customHeight="1" x14ac:dyDescent="0.3"/>
    <row r="71" spans="2:52" ht="3" customHeight="1" x14ac:dyDescent="0.3">
      <c r="B71" s="248"/>
      <c r="D71" s="249"/>
      <c r="E71" s="250"/>
      <c r="F71" s="250"/>
      <c r="G71" s="251"/>
      <c r="I71" s="249"/>
      <c r="J71" s="250"/>
      <c r="K71" s="250"/>
      <c r="L71" s="251"/>
      <c r="N71" s="249"/>
      <c r="O71" s="250"/>
      <c r="P71" s="250"/>
      <c r="Q71" s="251"/>
      <c r="T71" s="250"/>
      <c r="U71" s="250"/>
      <c r="V71" s="251"/>
      <c r="X71" s="249"/>
      <c r="Y71" s="250"/>
      <c r="Z71" s="250"/>
      <c r="AA71" s="251"/>
      <c r="AC71" s="249"/>
      <c r="AD71" s="250"/>
      <c r="AE71" s="250"/>
      <c r="AF71" s="251"/>
      <c r="AG71" s="250"/>
      <c r="AH71" s="249"/>
      <c r="AI71" s="250"/>
      <c r="AJ71" s="250"/>
      <c r="AK71" s="251"/>
      <c r="AL71" s="250"/>
      <c r="AM71" s="249"/>
      <c r="AN71" s="250"/>
      <c r="AO71" s="250"/>
      <c r="AP71" s="251"/>
      <c r="AR71" s="249"/>
      <c r="AS71" s="250"/>
      <c r="AT71" s="250"/>
      <c r="AU71" s="251"/>
      <c r="AW71" s="249"/>
      <c r="AX71" s="250"/>
      <c r="AY71" s="250"/>
      <c r="AZ71" s="251"/>
    </row>
    <row r="72" spans="2:52" ht="18.75" customHeight="1" x14ac:dyDescent="0.3">
      <c r="B72" s="379" t="s">
        <v>328</v>
      </c>
      <c r="C72" s="252"/>
      <c r="D72" s="253"/>
      <c r="E72" s="254">
        <v>101</v>
      </c>
      <c r="F72" s="255">
        <f ca="1">VLOOKUP(E72,INDIRECT($BB$1),12,0)</f>
        <v>15</v>
      </c>
      <c r="G72" s="256"/>
      <c r="I72" s="253"/>
      <c r="J72" s="254">
        <v>102</v>
      </c>
      <c r="K72" s="255">
        <f ca="1">VLOOKUP(J72,INDIRECT($BB$1),12,0)</f>
        <v>20</v>
      </c>
      <c r="L72" s="256"/>
      <c r="N72" s="253"/>
      <c r="O72" s="254">
        <v>103</v>
      </c>
      <c r="P72" s="255">
        <f ca="1">VLOOKUP(O72,INDIRECT($BB$1),12,0)</f>
        <v>39</v>
      </c>
      <c r="Q72" s="256"/>
      <c r="T72" s="254">
        <v>104</v>
      </c>
      <c r="U72" s="255">
        <f ca="1">VLOOKUP(T72,INDIRECT($BB$1),12,0)</f>
        <v>76</v>
      </c>
      <c r="V72" s="256"/>
      <c r="X72" s="253"/>
      <c r="Y72" s="254">
        <v>105</v>
      </c>
      <c r="Z72" s="255">
        <f ca="1">VLOOKUP(Y72,INDIRECT($BB$1),12,0)</f>
        <v>95</v>
      </c>
      <c r="AA72" s="256"/>
      <c r="AC72" s="253"/>
      <c r="AD72" s="254">
        <v>106</v>
      </c>
      <c r="AE72" s="255">
        <f ca="1">VLOOKUP(AD72,INDIRECT($BB$1),12,0)</f>
        <v>35</v>
      </c>
      <c r="AF72" s="256"/>
      <c r="AG72" s="118"/>
      <c r="AH72" s="253"/>
      <c r="AI72" s="254"/>
      <c r="AJ72" s="255"/>
      <c r="AK72" s="256"/>
      <c r="AL72" s="118"/>
      <c r="AM72" s="253"/>
      <c r="AN72" s="254"/>
      <c r="AO72" s="255"/>
      <c r="AP72" s="256"/>
      <c r="AR72" s="253"/>
      <c r="AS72" s="254"/>
      <c r="AT72" s="255"/>
      <c r="AU72" s="256"/>
      <c r="AW72" s="253"/>
      <c r="AX72" s="254"/>
      <c r="AY72" s="255"/>
      <c r="AZ72" s="256"/>
    </row>
    <row r="73" spans="2:52" ht="12.15" customHeight="1" x14ac:dyDescent="0.3">
      <c r="B73" s="379"/>
      <c r="C73" s="252"/>
      <c r="D73" s="253"/>
      <c r="E73" s="380" t="str">
        <f>VLOOKUP(E72,STARTOVKA,3,0)</f>
        <v>KOVÁČIK Vladimír</v>
      </c>
      <c r="F73" s="380"/>
      <c r="G73" s="257"/>
      <c r="H73" s="258"/>
      <c r="I73" s="259"/>
      <c r="J73" s="380" t="str">
        <f>VLOOKUP(J72,STARTOVKA,3,0)</f>
        <v>KVIETOK Pavol</v>
      </c>
      <c r="K73" s="380"/>
      <c r="L73" s="257"/>
      <c r="M73" s="258"/>
      <c r="N73" s="259"/>
      <c r="O73" s="380" t="str">
        <f>VLOOKUP(O72,STARTOVKA,3,0)</f>
        <v>MEŇUŠ Tomáš</v>
      </c>
      <c r="P73" s="380"/>
      <c r="Q73" s="257"/>
      <c r="R73" s="258"/>
      <c r="S73" s="258"/>
      <c r="T73" s="380" t="str">
        <f>VLOOKUP(T72,STARTOVKA,3,0)</f>
        <v>TRUBAN Matej</v>
      </c>
      <c r="U73" s="380"/>
      <c r="V73" s="257"/>
      <c r="W73" s="258"/>
      <c r="X73" s="259"/>
      <c r="Y73" s="380" t="str">
        <f>VLOOKUP(Y72,STARTOVKA,3,0)</f>
        <v>VOJTEK Miloš</v>
      </c>
      <c r="Z73" s="380"/>
      <c r="AA73" s="257"/>
      <c r="AB73" s="258"/>
      <c r="AC73" s="259"/>
      <c r="AD73" s="380" t="str">
        <f>VLOOKUP(AD72,STARTOVKA,3,0)</f>
        <v>GAJDOŠÍK Ján</v>
      </c>
      <c r="AE73" s="380"/>
      <c r="AF73" s="256"/>
      <c r="AG73" s="118"/>
      <c r="AH73" s="259"/>
      <c r="AI73" s="380"/>
      <c r="AJ73" s="380"/>
      <c r="AK73" s="257"/>
      <c r="AL73" s="118"/>
      <c r="AM73" s="259"/>
      <c r="AN73" s="380"/>
      <c r="AO73" s="380"/>
      <c r="AP73" s="257"/>
      <c r="AQ73" s="258"/>
      <c r="AR73" s="259"/>
      <c r="AS73" s="380"/>
      <c r="AT73" s="380"/>
      <c r="AU73" s="257"/>
      <c r="AV73" s="258"/>
      <c r="AW73" s="259"/>
      <c r="AX73" s="380"/>
      <c r="AY73" s="380"/>
      <c r="AZ73" s="256"/>
    </row>
    <row r="74" spans="2:52" ht="18.75" customHeight="1" x14ac:dyDescent="0.3">
      <c r="B74" s="379"/>
      <c r="C74" s="252"/>
      <c r="D74" s="253"/>
      <c r="E74" s="260">
        <f ca="1">VLOOKUP(E72,INDIRECT($BB$1),8,0)</f>
        <v>7.8252314814814816E-2</v>
      </c>
      <c r="F74" s="261">
        <f ca="1">VLOOKUP(E72,INDIRECT($BB$1),9,0)</f>
        <v>1.157407407407357E-4</v>
      </c>
      <c r="G74" s="256"/>
      <c r="I74" s="253"/>
      <c r="J74" s="260">
        <f ca="1">VLOOKUP(J72,INDIRECT($BB$1),8,0)</f>
        <v>7.8252314814814816E-2</v>
      </c>
      <c r="K74" s="261">
        <f ca="1">VLOOKUP(J72,INDIRECT($BB$1),9,0)</f>
        <v>1.157407407407357E-4</v>
      </c>
      <c r="L74" s="256"/>
      <c r="N74" s="253"/>
      <c r="O74" s="260">
        <f ca="1">VLOOKUP(O72,INDIRECT($BB$1),8,0)</f>
        <v>7.8252314814814816E-2</v>
      </c>
      <c r="P74" s="261">
        <f ca="1">VLOOKUP(O72,INDIRECT($BB$1),9,0)</f>
        <v>1.157407407407357E-4</v>
      </c>
      <c r="Q74" s="256"/>
      <c r="T74" s="260">
        <f ca="1">VLOOKUP(T72,INDIRECT($BB$1),8,0)</f>
        <v>7.856481481481481E-2</v>
      </c>
      <c r="U74" s="261">
        <f ca="1">VLOOKUP(T72,INDIRECT($BB$1),9,0)</f>
        <v>4.2824074074072904E-4</v>
      </c>
      <c r="V74" s="256"/>
      <c r="X74" s="253"/>
      <c r="Y74" s="260">
        <f ca="1">VLOOKUP(Y72,INDIRECT($BB$1),8,0)</f>
        <v>8.2835648148148144E-2</v>
      </c>
      <c r="Z74" s="261">
        <f ca="1">VLOOKUP(Y72,INDIRECT($BB$1),9,0)</f>
        <v>4.6990740740740639E-3</v>
      </c>
      <c r="AA74" s="256"/>
      <c r="AC74" s="253"/>
      <c r="AD74" s="260">
        <f ca="1">VLOOKUP(AD72,INDIRECT($BB$1),8,0)</f>
        <v>7.8252314814814816E-2</v>
      </c>
      <c r="AE74" s="261">
        <f ca="1">VLOOKUP(AD72,INDIRECT($BB$1),9,0)</f>
        <v>1.157407407407357E-4</v>
      </c>
      <c r="AF74" s="256"/>
      <c r="AG74" s="118"/>
      <c r="AH74" s="253"/>
      <c r="AI74" s="260"/>
      <c r="AJ74" s="261"/>
      <c r="AK74" s="256"/>
      <c r="AL74" s="118"/>
      <c r="AM74" s="253"/>
      <c r="AN74" s="260"/>
      <c r="AO74" s="261"/>
      <c r="AP74" s="256"/>
      <c r="AR74" s="253"/>
      <c r="AS74" s="260"/>
      <c r="AT74" s="261"/>
      <c r="AU74" s="256"/>
      <c r="AW74" s="253"/>
      <c r="AX74" s="260"/>
      <c r="AY74" s="261"/>
      <c r="AZ74" s="256"/>
    </row>
    <row r="75" spans="2:52" ht="3" customHeight="1" x14ac:dyDescent="0.3">
      <c r="B75" s="262"/>
      <c r="D75" s="263"/>
      <c r="E75" s="264"/>
      <c r="F75" s="264"/>
      <c r="G75" s="265"/>
      <c r="I75" s="263"/>
      <c r="J75" s="264"/>
      <c r="K75" s="264"/>
      <c r="L75" s="265"/>
      <c r="N75" s="263"/>
      <c r="O75" s="264"/>
      <c r="P75" s="264"/>
      <c r="Q75" s="265"/>
      <c r="T75" s="264"/>
      <c r="U75" s="264"/>
      <c r="V75" s="265"/>
      <c r="X75" s="263"/>
      <c r="Y75" s="264"/>
      <c r="Z75" s="264"/>
      <c r="AA75" s="265"/>
      <c r="AC75" s="263"/>
      <c r="AD75" s="264"/>
      <c r="AE75" s="264"/>
      <c r="AF75" s="265"/>
      <c r="AG75" s="264"/>
      <c r="AH75" s="263"/>
      <c r="AI75" s="264"/>
      <c r="AJ75" s="264"/>
      <c r="AK75" s="265"/>
      <c r="AL75" s="264"/>
      <c r="AM75" s="263"/>
      <c r="AN75" s="264"/>
      <c r="AO75" s="264"/>
      <c r="AP75" s="265"/>
      <c r="AR75" s="263"/>
      <c r="AS75" s="264"/>
      <c r="AT75" s="264"/>
      <c r="AU75" s="265"/>
      <c r="AW75" s="263"/>
      <c r="AX75" s="264"/>
      <c r="AY75" s="264"/>
      <c r="AZ75" s="265"/>
    </row>
    <row r="76" spans="2:52" ht="3" customHeight="1" x14ac:dyDescent="0.3"/>
    <row r="77" spans="2:52" ht="3" customHeight="1" x14ac:dyDescent="0.3">
      <c r="B77" s="248"/>
      <c r="D77" s="249"/>
      <c r="E77" s="250"/>
      <c r="F77" s="250"/>
      <c r="G77" s="251"/>
      <c r="I77" s="249"/>
      <c r="J77" s="250"/>
      <c r="K77" s="250"/>
      <c r="L77" s="251"/>
      <c r="N77" s="249"/>
      <c r="O77" s="250"/>
      <c r="P77" s="250"/>
      <c r="Q77" s="251"/>
      <c r="T77" s="250"/>
      <c r="U77" s="250"/>
      <c r="V77" s="251"/>
      <c r="X77" s="249"/>
      <c r="Y77" s="250"/>
      <c r="Z77" s="250"/>
      <c r="AA77" s="251"/>
      <c r="AC77" s="249"/>
      <c r="AD77" s="250"/>
      <c r="AE77" s="250"/>
      <c r="AF77" s="251"/>
      <c r="AG77" s="250"/>
      <c r="AH77" s="249"/>
      <c r="AI77" s="250"/>
      <c r="AJ77" s="250"/>
      <c r="AK77" s="251"/>
      <c r="AL77" s="250"/>
      <c r="AM77" s="249"/>
      <c r="AN77" s="250"/>
      <c r="AO77" s="250"/>
      <c r="AP77" s="251"/>
      <c r="AR77" s="249"/>
      <c r="AS77" s="250"/>
      <c r="AT77" s="250"/>
      <c r="AU77" s="251"/>
      <c r="AW77" s="249"/>
      <c r="AX77" s="250"/>
      <c r="AY77" s="250"/>
      <c r="AZ77" s="251"/>
    </row>
    <row r="78" spans="2:52" ht="18.75" customHeight="1" x14ac:dyDescent="0.3">
      <c r="B78" s="379" t="s">
        <v>653</v>
      </c>
      <c r="C78" s="252"/>
      <c r="D78" s="253"/>
      <c r="E78" s="254">
        <v>111</v>
      </c>
      <c r="F78" s="255">
        <f ca="1">VLOOKUP(E78,INDIRECT($BB$1),12,0)</f>
        <v>44</v>
      </c>
      <c r="G78" s="256"/>
      <c r="I78" s="253"/>
      <c r="J78" s="254">
        <v>112</v>
      </c>
      <c r="K78" s="255">
        <f ca="1">VLOOKUP(J78,INDIRECT($BB$1),12,0)</f>
        <v>14</v>
      </c>
      <c r="L78" s="256"/>
      <c r="N78" s="253"/>
      <c r="O78" s="254">
        <v>113</v>
      </c>
      <c r="P78" s="255">
        <f ca="1">VLOOKUP(O78,INDIRECT($BB$1),12,0)</f>
        <v>53</v>
      </c>
      <c r="Q78" s="256"/>
      <c r="T78" s="254">
        <v>114</v>
      </c>
      <c r="U78" s="255">
        <f ca="1">VLOOKUP(T78,INDIRECT($BB$1),12,0)</f>
        <v>11</v>
      </c>
      <c r="V78" s="256"/>
      <c r="X78" s="253"/>
      <c r="Y78" s="254">
        <v>115</v>
      </c>
      <c r="Z78" s="255">
        <f ca="1">VLOOKUP(Y78,INDIRECT($BB$1),12,0)</f>
        <v>127</v>
      </c>
      <c r="AA78" s="256"/>
      <c r="AC78" s="253"/>
      <c r="AD78" s="254">
        <v>116</v>
      </c>
      <c r="AE78" s="255">
        <f ca="1">VLOOKUP(AD78,INDIRECT($BB$1),12,0)</f>
        <v>111</v>
      </c>
      <c r="AF78" s="256"/>
      <c r="AG78" s="118"/>
      <c r="AH78" s="253"/>
      <c r="AI78" s="254">
        <v>117</v>
      </c>
      <c r="AJ78" s="255">
        <f ca="1">VLOOKUP(AI78,INDIRECT($BB$1),12,0)</f>
        <v>37</v>
      </c>
      <c r="AK78" s="256"/>
      <c r="AL78" s="118"/>
      <c r="AM78" s="253"/>
      <c r="AN78" s="254">
        <v>118</v>
      </c>
      <c r="AO78" s="255">
        <f ca="1">VLOOKUP(AN78,INDIRECT($BB$1),12,0)</f>
        <v>26</v>
      </c>
      <c r="AP78" s="256"/>
      <c r="AR78" s="253"/>
      <c r="AS78" s="254">
        <v>119</v>
      </c>
      <c r="AT78" s="255">
        <f ca="1">VLOOKUP(AS78,INDIRECT($BB$1),12,0)</f>
        <v>119</v>
      </c>
      <c r="AU78" s="256"/>
      <c r="AW78" s="253"/>
      <c r="AX78" s="254"/>
      <c r="AY78" s="255"/>
      <c r="AZ78" s="256"/>
    </row>
    <row r="79" spans="2:52" ht="12.15" customHeight="1" x14ac:dyDescent="0.3">
      <c r="B79" s="379"/>
      <c r="C79" s="252"/>
      <c r="D79" s="253"/>
      <c r="E79" s="380" t="str">
        <f>VLOOKUP(E78,STARTOVKA,3,0)</f>
        <v xml:space="preserve">BAKUS Tomáš </v>
      </c>
      <c r="F79" s="380"/>
      <c r="G79" s="257"/>
      <c r="H79" s="258"/>
      <c r="I79" s="259"/>
      <c r="J79" s="380" t="str">
        <f>VLOOKUP(J78,STARTOVKA,3,0)</f>
        <v xml:space="preserve">DRDEK Dominik </v>
      </c>
      <c r="K79" s="380"/>
      <c r="L79" s="257"/>
      <c r="M79" s="258"/>
      <c r="N79" s="259"/>
      <c r="O79" s="380" t="str">
        <f>VLOOKUP(O78,STARTOVKA,3,0)</f>
        <v xml:space="preserve">NOVÁK Jan </v>
      </c>
      <c r="P79" s="380"/>
      <c r="Q79" s="257"/>
      <c r="R79" s="258"/>
      <c r="S79" s="258"/>
      <c r="T79" s="380" t="str">
        <f>VLOOKUP(T78,STARTOVKA,3,0)</f>
        <v xml:space="preserve">SYROVÁTKA Matěj </v>
      </c>
      <c r="U79" s="380"/>
      <c r="V79" s="257"/>
      <c r="W79" s="258"/>
      <c r="X79" s="259"/>
      <c r="Y79" s="380" t="str">
        <f>VLOOKUP(Y78,STARTOVKA,3,0)</f>
        <v xml:space="preserve">CHARALAMBIDIS Denis </v>
      </c>
      <c r="Z79" s="380"/>
      <c r="AA79" s="257"/>
      <c r="AB79" s="258"/>
      <c r="AC79" s="259"/>
      <c r="AD79" s="380" t="str">
        <f>VLOOKUP(AD78,STARTOVKA,3,0)</f>
        <v xml:space="preserve">KUBA Karel </v>
      </c>
      <c r="AE79" s="380"/>
      <c r="AF79" s="256"/>
      <c r="AG79" s="118"/>
      <c r="AH79" s="259"/>
      <c r="AI79" s="380" t="str">
        <f>VLOOKUP(AI78,STARTOVKA,3,0)</f>
        <v xml:space="preserve">SVATEK Miroslav </v>
      </c>
      <c r="AJ79" s="380"/>
      <c r="AK79" s="257"/>
      <c r="AL79" s="118"/>
      <c r="AM79" s="259"/>
      <c r="AN79" s="380" t="str">
        <f>VLOOKUP(AN78,STARTOVKA,3,0)</f>
        <v xml:space="preserve">KŘIKAVA Jakub </v>
      </c>
      <c r="AO79" s="380"/>
      <c r="AP79" s="257"/>
      <c r="AQ79" s="258"/>
      <c r="AR79" s="259"/>
      <c r="AS79" s="380" t="str">
        <f>VLOOKUP(AS78,STARTOVKA,3,0)</f>
        <v xml:space="preserve">TUHÝ Jan </v>
      </c>
      <c r="AT79" s="380"/>
      <c r="AU79" s="257"/>
      <c r="AV79" s="258"/>
      <c r="AW79" s="259"/>
      <c r="AX79" s="380"/>
      <c r="AY79" s="380"/>
      <c r="AZ79" s="256"/>
    </row>
    <row r="80" spans="2:52" ht="18.75" customHeight="1" x14ac:dyDescent="0.3">
      <c r="B80" s="379"/>
      <c r="C80" s="252"/>
      <c r="D80" s="253"/>
      <c r="E80" s="260">
        <f ca="1">VLOOKUP(E78,INDIRECT($BB$1),8,0)</f>
        <v>7.8252314814814816E-2</v>
      </c>
      <c r="F80" s="261">
        <f ca="1">VLOOKUP(E78,INDIRECT($BB$1),9,0)</f>
        <v>1.157407407407357E-4</v>
      </c>
      <c r="G80" s="256"/>
      <c r="I80" s="253"/>
      <c r="J80" s="260">
        <f ca="1">VLOOKUP(J78,INDIRECT($BB$1),8,0)</f>
        <v>7.8252314814814816E-2</v>
      </c>
      <c r="K80" s="261">
        <f ca="1">VLOOKUP(J78,INDIRECT($BB$1),9,0)</f>
        <v>1.157407407407357E-4</v>
      </c>
      <c r="L80" s="256"/>
      <c r="N80" s="253"/>
      <c r="O80" s="260">
        <f ca="1">VLOOKUP(O78,INDIRECT($BB$1),8,0)</f>
        <v>7.8252314814814816E-2</v>
      </c>
      <c r="P80" s="261">
        <f ca="1">VLOOKUP(O78,INDIRECT($BB$1),9,0)</f>
        <v>1.157407407407357E-4</v>
      </c>
      <c r="Q80" s="256"/>
      <c r="T80" s="260">
        <f ca="1">VLOOKUP(T78,INDIRECT($BB$1),8,0)</f>
        <v>7.8252314814814816E-2</v>
      </c>
      <c r="U80" s="261">
        <f ca="1">VLOOKUP(T78,INDIRECT($BB$1),9,0)</f>
        <v>1.157407407407357E-4</v>
      </c>
      <c r="V80" s="256"/>
      <c r="X80" s="253"/>
      <c r="Y80" s="260">
        <f ca="1">VLOOKUP(Y78,INDIRECT($BB$1),8,0)</f>
        <v>0.10581018518518519</v>
      </c>
      <c r="Z80" s="261">
        <f ca="1">VLOOKUP(Y78,INDIRECT($BB$1),9,0)</f>
        <v>2.7673611111111107E-2</v>
      </c>
      <c r="AA80" s="256"/>
      <c r="AC80" s="253"/>
      <c r="AD80" s="260">
        <f ca="1">VLOOKUP(AD78,INDIRECT($BB$1),8,0)</f>
        <v>8.9189814814814819E-2</v>
      </c>
      <c r="AE80" s="261">
        <f ca="1">VLOOKUP(AD78,INDIRECT($BB$1),9,0)</f>
        <v>1.1053240740740738E-2</v>
      </c>
      <c r="AF80" s="256"/>
      <c r="AG80" s="118"/>
      <c r="AH80" s="253"/>
      <c r="AI80" s="260">
        <f ca="1">VLOOKUP(AI78,INDIRECT($BB$1),8,0)</f>
        <v>7.8252314814814816E-2</v>
      </c>
      <c r="AJ80" s="261">
        <f ca="1">VLOOKUP(AI78,INDIRECT($BB$1),9,0)</f>
        <v>1.157407407407357E-4</v>
      </c>
      <c r="AK80" s="256"/>
      <c r="AL80" s="118"/>
      <c r="AM80" s="253"/>
      <c r="AN80" s="260">
        <f ca="1">VLOOKUP(AN78,INDIRECT($BB$1),8,0)</f>
        <v>7.8252314814814816E-2</v>
      </c>
      <c r="AO80" s="261">
        <f ca="1">VLOOKUP(AN78,INDIRECT($BB$1),9,0)</f>
        <v>1.157407407407357E-4</v>
      </c>
      <c r="AP80" s="256"/>
      <c r="AR80" s="253"/>
      <c r="AS80" s="260">
        <f ca="1">VLOOKUP(AS78,INDIRECT($BB$1),8,0)</f>
        <v>8.9791666666666659E-2</v>
      </c>
      <c r="AT80" s="261">
        <f ca="1">VLOOKUP(AS78,INDIRECT($BB$1),9,0)</f>
        <v>1.1655092592592578E-2</v>
      </c>
      <c r="AU80" s="256"/>
      <c r="AW80" s="253"/>
      <c r="AX80" s="260"/>
      <c r="AY80" s="261"/>
      <c r="AZ80" s="256"/>
    </row>
    <row r="81" spans="2:52" ht="3" customHeight="1" x14ac:dyDescent="0.3">
      <c r="B81" s="262"/>
      <c r="D81" s="263"/>
      <c r="E81" s="264"/>
      <c r="F81" s="264"/>
      <c r="G81" s="265"/>
      <c r="I81" s="263"/>
      <c r="J81" s="264"/>
      <c r="K81" s="264"/>
      <c r="L81" s="265"/>
      <c r="N81" s="263"/>
      <c r="O81" s="264"/>
      <c r="P81" s="264"/>
      <c r="Q81" s="265"/>
      <c r="T81" s="264"/>
      <c r="U81" s="264"/>
      <c r="V81" s="265"/>
      <c r="X81" s="263"/>
      <c r="Y81" s="264"/>
      <c r="Z81" s="264"/>
      <c r="AA81" s="265"/>
      <c r="AC81" s="263"/>
      <c r="AD81" s="264"/>
      <c r="AE81" s="264"/>
      <c r="AF81" s="265"/>
      <c r="AG81" s="264"/>
      <c r="AH81" s="263"/>
      <c r="AI81" s="264"/>
      <c r="AJ81" s="264"/>
      <c r="AK81" s="265"/>
      <c r="AL81" s="264"/>
      <c r="AM81" s="263"/>
      <c r="AN81" s="264"/>
      <c r="AO81" s="264"/>
      <c r="AP81" s="265"/>
      <c r="AR81" s="263"/>
      <c r="AS81" s="264"/>
      <c r="AT81" s="264"/>
      <c r="AU81" s="265"/>
      <c r="AW81" s="263"/>
      <c r="AX81" s="264"/>
      <c r="AY81" s="264"/>
      <c r="AZ81" s="265"/>
    </row>
    <row r="82" spans="2:52" ht="3" customHeight="1" x14ac:dyDescent="0.3"/>
    <row r="83" spans="2:52" ht="3" customHeight="1" x14ac:dyDescent="0.3">
      <c r="B83" s="248"/>
      <c r="D83" s="249"/>
      <c r="E83" s="250"/>
      <c r="F83" s="250"/>
      <c r="G83" s="251"/>
      <c r="I83" s="249"/>
      <c r="J83" s="250"/>
      <c r="K83" s="250"/>
      <c r="L83" s="251"/>
      <c r="N83" s="249"/>
      <c r="O83" s="250"/>
      <c r="P83" s="250"/>
      <c r="Q83" s="251"/>
      <c r="T83" s="250"/>
      <c r="U83" s="250"/>
      <c r="V83" s="251"/>
      <c r="X83" s="249"/>
      <c r="Y83" s="250"/>
      <c r="Z83" s="250"/>
      <c r="AA83" s="251"/>
      <c r="AC83" s="249"/>
      <c r="AD83" s="250"/>
      <c r="AE83" s="250"/>
      <c r="AF83" s="251"/>
      <c r="AG83" s="250"/>
      <c r="AH83" s="249"/>
      <c r="AI83" s="250"/>
      <c r="AJ83" s="250"/>
      <c r="AK83" s="251"/>
      <c r="AL83" s="250"/>
      <c r="AM83" s="249"/>
      <c r="AN83" s="250"/>
      <c r="AO83" s="250"/>
      <c r="AP83" s="251"/>
      <c r="AR83" s="249"/>
      <c r="AS83" s="250"/>
      <c r="AT83" s="250"/>
      <c r="AU83" s="251"/>
      <c r="AW83" s="249"/>
      <c r="AX83" s="250"/>
      <c r="AY83" s="250"/>
      <c r="AZ83" s="251"/>
    </row>
    <row r="84" spans="2:52" ht="18.75" customHeight="1" x14ac:dyDescent="0.3">
      <c r="B84" s="379" t="s">
        <v>649</v>
      </c>
      <c r="C84" s="252"/>
      <c r="D84" s="253"/>
      <c r="E84" s="254">
        <v>121</v>
      </c>
      <c r="F84" s="255">
        <f ca="1">VLOOKUP(E84,INDIRECT($BB$1),12,0)</f>
        <v>94</v>
      </c>
      <c r="G84" s="256"/>
      <c r="I84" s="253"/>
      <c r="J84" s="254">
        <v>122</v>
      </c>
      <c r="K84" s="255">
        <f ca="1">VLOOKUP(J84,INDIRECT($BB$1),12,0)</f>
        <v>65</v>
      </c>
      <c r="L84" s="256"/>
      <c r="N84" s="253"/>
      <c r="O84" s="254">
        <v>123</v>
      </c>
      <c r="P84" s="255">
        <f ca="1">VLOOKUP(O84,INDIRECT($BB$1),12,0)</f>
        <v>67</v>
      </c>
      <c r="Q84" s="256"/>
      <c r="T84" s="254">
        <v>124</v>
      </c>
      <c r="U84" s="255">
        <f ca="1">VLOOKUP(T84,INDIRECT($BB$1),12,0)</f>
        <v>137</v>
      </c>
      <c r="V84" s="256"/>
      <c r="X84" s="253"/>
      <c r="Y84" s="254">
        <v>125</v>
      </c>
      <c r="Z84" s="255">
        <f ca="1">VLOOKUP(Y84,INDIRECT($BB$1),12,0)</f>
        <v>133</v>
      </c>
      <c r="AA84" s="256"/>
      <c r="AC84" s="253"/>
      <c r="AD84" s="254">
        <v>126</v>
      </c>
      <c r="AE84" s="255">
        <f ca="1">VLOOKUP(AD84,INDIRECT($BB$1),12,0)</f>
        <v>57</v>
      </c>
      <c r="AF84" s="256"/>
      <c r="AG84" s="118"/>
      <c r="AH84" s="253"/>
      <c r="AI84" s="254">
        <v>127</v>
      </c>
      <c r="AJ84" s="255">
        <f ca="1">VLOOKUP(AI84,INDIRECT($BB$1),12,0)</f>
        <v>68</v>
      </c>
      <c r="AK84" s="256"/>
      <c r="AL84" s="118"/>
      <c r="AM84" s="253"/>
      <c r="AN84" s="254"/>
      <c r="AO84" s="255"/>
      <c r="AP84" s="256"/>
      <c r="AR84" s="253"/>
      <c r="AS84" s="254"/>
      <c r="AT84" s="255"/>
      <c r="AU84" s="256"/>
      <c r="AW84" s="253"/>
      <c r="AX84" s="254"/>
      <c r="AY84" s="255"/>
      <c r="AZ84" s="256"/>
    </row>
    <row r="85" spans="2:52" ht="12.15" customHeight="1" x14ac:dyDescent="0.3">
      <c r="B85" s="379"/>
      <c r="C85" s="252"/>
      <c r="D85" s="253"/>
      <c r="E85" s="380" t="str">
        <f>VLOOKUP(E84,STARTOVKA,3,0)</f>
        <v xml:space="preserve">HONZÁK David </v>
      </c>
      <c r="F85" s="380"/>
      <c r="G85" s="257"/>
      <c r="H85" s="258"/>
      <c r="I85" s="259"/>
      <c r="J85" s="380" t="str">
        <f>VLOOKUP(J84,STARTOVKA,3,0)</f>
        <v xml:space="preserve">HRUBÝ Jakub </v>
      </c>
      <c r="K85" s="380"/>
      <c r="L85" s="257"/>
      <c r="M85" s="258"/>
      <c r="N85" s="259"/>
      <c r="O85" s="380" t="str">
        <f>VLOOKUP(O84,STARTOVKA,3,0)</f>
        <v xml:space="preserve">ŠIMŮNEK Adam </v>
      </c>
      <c r="P85" s="380"/>
      <c r="Q85" s="257"/>
      <c r="R85" s="258"/>
      <c r="S85" s="258"/>
      <c r="T85" s="380" t="str">
        <f>VLOOKUP(T84,STARTOVKA,3,0)</f>
        <v xml:space="preserve">HAVLÍKOVÁ Pavla </v>
      </c>
      <c r="U85" s="380"/>
      <c r="V85" s="257"/>
      <c r="W85" s="258"/>
      <c r="X85" s="259"/>
      <c r="Y85" s="380" t="str">
        <f>VLOOKUP(Y84,STARTOVKA,3,0)</f>
        <v>ČECH Martin</v>
      </c>
      <c r="Z85" s="380"/>
      <c r="AA85" s="257"/>
      <c r="AB85" s="258"/>
      <c r="AC85" s="259"/>
      <c r="AD85" s="380" t="str">
        <f>VLOOKUP(AD84,STARTOVKA,3,0)</f>
        <v xml:space="preserve">KUNT Lukáš </v>
      </c>
      <c r="AE85" s="380"/>
      <c r="AF85" s="256"/>
      <c r="AG85" s="118"/>
      <c r="AH85" s="259"/>
      <c r="AI85" s="380" t="str">
        <f>VLOOKUP(AI84,STARTOVKA,3,0)</f>
        <v xml:space="preserve">VANÍČEK Šimon </v>
      </c>
      <c r="AJ85" s="380"/>
      <c r="AK85" s="257"/>
      <c r="AL85" s="118"/>
      <c r="AM85" s="259"/>
      <c r="AN85" s="380"/>
      <c r="AO85" s="380"/>
      <c r="AP85" s="257"/>
      <c r="AQ85" s="258"/>
      <c r="AR85" s="259"/>
      <c r="AS85" s="380"/>
      <c r="AT85" s="380"/>
      <c r="AU85" s="257"/>
      <c r="AV85" s="258"/>
      <c r="AW85" s="259"/>
      <c r="AX85" s="380"/>
      <c r="AY85" s="380"/>
      <c r="AZ85" s="256"/>
    </row>
    <row r="86" spans="2:52" ht="18.75" customHeight="1" x14ac:dyDescent="0.3">
      <c r="B86" s="379"/>
      <c r="C86" s="252"/>
      <c r="D86" s="253"/>
      <c r="E86" s="260">
        <f ca="1">VLOOKUP(E84,INDIRECT($BB$1),8,0)</f>
        <v>8.2812499999999997E-2</v>
      </c>
      <c r="F86" s="261">
        <f ca="1">VLOOKUP(E84,INDIRECT($BB$1),9,0)</f>
        <v>4.6759259259259167E-3</v>
      </c>
      <c r="G86" s="256"/>
      <c r="I86" s="253"/>
      <c r="J86" s="260">
        <f ca="1">VLOOKUP(J84,INDIRECT($BB$1),8,0)</f>
        <v>7.8252314814814816E-2</v>
      </c>
      <c r="K86" s="261">
        <f ca="1">VLOOKUP(J84,INDIRECT($BB$1),9,0)</f>
        <v>1.157407407407357E-4</v>
      </c>
      <c r="L86" s="256"/>
      <c r="N86" s="253"/>
      <c r="O86" s="260">
        <f ca="1">VLOOKUP(O84,INDIRECT($BB$1),8,0)</f>
        <v>7.8252314814814816E-2</v>
      </c>
      <c r="P86" s="261">
        <f ca="1">VLOOKUP(O84,INDIRECT($BB$1),9,0)</f>
        <v>1.157407407407357E-4</v>
      </c>
      <c r="Q86" s="256"/>
      <c r="T86" s="260">
        <f ca="1">VLOOKUP(T84,INDIRECT($BB$1),8,0)</f>
        <v>0.10581018518518519</v>
      </c>
      <c r="U86" s="261">
        <f ca="1">VLOOKUP(T84,INDIRECT($BB$1),9,0)</f>
        <v>2.7673611111111107E-2</v>
      </c>
      <c r="V86" s="256"/>
      <c r="X86" s="253"/>
      <c r="Y86" s="260">
        <f ca="1">VLOOKUP(Y84,INDIRECT($BB$1),8,0)</f>
        <v>0.10581018518518519</v>
      </c>
      <c r="Z86" s="261">
        <f ca="1">VLOOKUP(Y84,INDIRECT($BB$1),9,0)</f>
        <v>2.7673611111111107E-2</v>
      </c>
      <c r="AA86" s="256"/>
      <c r="AC86" s="253"/>
      <c r="AD86" s="260">
        <f ca="1">VLOOKUP(AD84,INDIRECT($BB$1),8,0)</f>
        <v>7.8252314814814816E-2</v>
      </c>
      <c r="AE86" s="261">
        <f ca="1">VLOOKUP(AD84,INDIRECT($BB$1),9,0)</f>
        <v>1.157407407407357E-4</v>
      </c>
      <c r="AF86" s="256"/>
      <c r="AG86" s="118"/>
      <c r="AH86" s="253"/>
      <c r="AI86" s="260">
        <f ca="1">VLOOKUP(AI84,INDIRECT($BB$1),8,0)</f>
        <v>7.8252314814814816E-2</v>
      </c>
      <c r="AJ86" s="261">
        <f ca="1">VLOOKUP(AI84,INDIRECT($BB$1),9,0)</f>
        <v>1.157407407407357E-4</v>
      </c>
      <c r="AK86" s="256"/>
      <c r="AL86" s="118"/>
      <c r="AM86" s="253"/>
      <c r="AN86" s="260"/>
      <c r="AO86" s="261"/>
      <c r="AP86" s="256"/>
      <c r="AR86" s="253"/>
      <c r="AS86" s="260"/>
      <c r="AT86" s="261"/>
      <c r="AU86" s="256"/>
      <c r="AW86" s="253"/>
      <c r="AX86" s="260"/>
      <c r="AY86" s="261"/>
      <c r="AZ86" s="256"/>
    </row>
    <row r="87" spans="2:52" ht="3" customHeight="1" x14ac:dyDescent="0.3">
      <c r="B87" s="262"/>
      <c r="D87" s="263"/>
      <c r="E87" s="264"/>
      <c r="F87" s="264"/>
      <c r="G87" s="265"/>
      <c r="I87" s="263"/>
      <c r="J87" s="264"/>
      <c r="K87" s="264"/>
      <c r="L87" s="265"/>
      <c r="N87" s="263"/>
      <c r="O87" s="264"/>
      <c r="P87" s="264"/>
      <c r="Q87" s="265"/>
      <c r="T87" s="264"/>
      <c r="U87" s="264"/>
      <c r="V87" s="265"/>
      <c r="X87" s="263"/>
      <c r="Y87" s="264"/>
      <c r="Z87" s="264"/>
      <c r="AA87" s="265"/>
      <c r="AC87" s="263"/>
      <c r="AD87" s="264"/>
      <c r="AE87" s="264"/>
      <c r="AF87" s="265"/>
      <c r="AG87" s="264"/>
      <c r="AH87" s="263"/>
      <c r="AI87" s="264"/>
      <c r="AJ87" s="264"/>
      <c r="AK87" s="265"/>
      <c r="AL87" s="264"/>
      <c r="AM87" s="263"/>
      <c r="AN87" s="264"/>
      <c r="AO87" s="264"/>
      <c r="AP87" s="265"/>
      <c r="AR87" s="263"/>
      <c r="AS87" s="264"/>
      <c r="AT87" s="264"/>
      <c r="AU87" s="265"/>
      <c r="AW87" s="263"/>
      <c r="AX87" s="264"/>
      <c r="AY87" s="264"/>
      <c r="AZ87" s="265"/>
    </row>
    <row r="88" spans="2:52" ht="3" customHeight="1" x14ac:dyDescent="0.3"/>
    <row r="89" spans="2:52" ht="3" customHeight="1" x14ac:dyDescent="0.3">
      <c r="B89" s="248"/>
      <c r="D89" s="249"/>
      <c r="E89" s="250"/>
      <c r="F89" s="250"/>
      <c r="G89" s="251"/>
      <c r="I89" s="249"/>
      <c r="J89" s="250"/>
      <c r="K89" s="250"/>
      <c r="L89" s="251"/>
      <c r="N89" s="249"/>
      <c r="O89" s="250"/>
      <c r="P89" s="250"/>
      <c r="Q89" s="251"/>
      <c r="T89" s="250"/>
      <c r="U89" s="250"/>
      <c r="V89" s="251"/>
      <c r="X89" s="249"/>
      <c r="Y89" s="250"/>
      <c r="Z89" s="250"/>
      <c r="AA89" s="251"/>
      <c r="AC89" s="249"/>
      <c r="AD89" s="250"/>
      <c r="AE89" s="250"/>
      <c r="AF89" s="251"/>
      <c r="AG89" s="250"/>
      <c r="AH89" s="249"/>
      <c r="AI89" s="250"/>
      <c r="AJ89" s="250"/>
      <c r="AK89" s="251"/>
      <c r="AL89" s="250"/>
      <c r="AM89" s="249"/>
      <c r="AN89" s="250"/>
      <c r="AO89" s="250"/>
      <c r="AP89" s="251"/>
      <c r="AR89" s="249"/>
      <c r="AS89" s="250"/>
      <c r="AT89" s="250"/>
      <c r="AU89" s="251"/>
      <c r="AW89" s="249"/>
      <c r="AX89" s="250"/>
      <c r="AY89" s="250"/>
      <c r="AZ89" s="251"/>
    </row>
    <row r="90" spans="2:52" ht="18.75" customHeight="1" x14ac:dyDescent="0.3">
      <c r="B90" s="379" t="s">
        <v>625</v>
      </c>
      <c r="C90" s="252"/>
      <c r="D90" s="253"/>
      <c r="E90" s="254">
        <v>131</v>
      </c>
      <c r="F90" s="255">
        <f ca="1">VLOOKUP(E90,INDIRECT($BB$1),12,0)</f>
        <v>109</v>
      </c>
      <c r="G90" s="256"/>
      <c r="I90" s="253"/>
      <c r="J90" s="254">
        <v>132</v>
      </c>
      <c r="K90" s="255">
        <f ca="1">VLOOKUP(J90,INDIRECT($BB$1),12,0)</f>
        <v>69</v>
      </c>
      <c r="L90" s="256"/>
      <c r="N90" s="253"/>
      <c r="O90" s="254">
        <v>133</v>
      </c>
      <c r="P90" s="255">
        <f ca="1">VLOOKUP(O90,INDIRECT($BB$1),12,0)</f>
        <v>86</v>
      </c>
      <c r="Q90" s="256"/>
      <c r="T90" s="254">
        <v>134</v>
      </c>
      <c r="U90" s="255">
        <f ca="1">VLOOKUP(T90,INDIRECT($BB$1),12,0)</f>
        <v>54</v>
      </c>
      <c r="V90" s="256"/>
      <c r="X90" s="253"/>
      <c r="Y90" s="254">
        <v>135</v>
      </c>
      <c r="Z90" s="255">
        <f ca="1">VLOOKUP(Y90,INDIRECT($BB$1),12,0)</f>
        <v>85</v>
      </c>
      <c r="AA90" s="256"/>
      <c r="AC90" s="253"/>
      <c r="AD90" s="254">
        <v>136</v>
      </c>
      <c r="AE90" s="255">
        <f ca="1">VLOOKUP(AD90,INDIRECT($BB$1),12,0)</f>
        <v>9</v>
      </c>
      <c r="AF90" s="256"/>
      <c r="AG90" s="118"/>
      <c r="AH90" s="253"/>
      <c r="AI90" s="254">
        <v>137</v>
      </c>
      <c r="AJ90" s="255">
        <f ca="1">VLOOKUP(AI90,INDIRECT($BB$1),12,0)</f>
        <v>89</v>
      </c>
      <c r="AK90" s="256"/>
      <c r="AL90" s="118"/>
      <c r="AM90" s="253"/>
      <c r="AN90" s="254">
        <v>138</v>
      </c>
      <c r="AO90" s="255">
        <f ca="1">VLOOKUP(AN90,INDIRECT($BB$1),12,0)</f>
        <v>66</v>
      </c>
      <c r="AP90" s="256"/>
      <c r="AR90" s="253"/>
      <c r="AS90" s="254">
        <v>139</v>
      </c>
      <c r="AT90" s="255">
        <f ca="1">VLOOKUP(AS90,INDIRECT($BB$1),12,0)</f>
        <v>90</v>
      </c>
      <c r="AU90" s="256"/>
      <c r="AW90" s="253"/>
      <c r="AX90" s="254">
        <v>140</v>
      </c>
      <c r="AY90" s="255">
        <f ca="1">VLOOKUP(AX90,INDIRECT($BB$1),12,0)</f>
        <v>124</v>
      </c>
      <c r="AZ90" s="256"/>
    </row>
    <row r="91" spans="2:52" ht="12.15" customHeight="1" x14ac:dyDescent="0.3">
      <c r="B91" s="379"/>
      <c r="C91" s="252"/>
      <c r="D91" s="253"/>
      <c r="E91" s="380" t="str">
        <f>VLOOKUP(E90,STARTOVKA,3,0)</f>
        <v>LIŠKA Daniel</v>
      </c>
      <c r="F91" s="380"/>
      <c r="G91" s="257"/>
      <c r="H91" s="258"/>
      <c r="I91" s="259"/>
      <c r="J91" s="380" t="str">
        <f>VLOOKUP(J90,STARTOVKA,3,0)</f>
        <v>ZEMAN Alex</v>
      </c>
      <c r="K91" s="380"/>
      <c r="L91" s="257"/>
      <c r="M91" s="258"/>
      <c r="N91" s="259"/>
      <c r="O91" s="380" t="str">
        <f>VLOOKUP(O90,STARTOVKA,3,0)</f>
        <v>KOVÁČ Milan</v>
      </c>
      <c r="P91" s="380"/>
      <c r="Q91" s="257"/>
      <c r="R91" s="258"/>
      <c r="S91" s="258"/>
      <c r="T91" s="380" t="str">
        <f>VLOOKUP(T90,STARTOVKA,3,0)</f>
        <v>JANIKOVSKÝ Lukáš</v>
      </c>
      <c r="U91" s="380"/>
      <c r="V91" s="257"/>
      <c r="W91" s="258"/>
      <c r="X91" s="259"/>
      <c r="Y91" s="380" t="str">
        <f>VLOOKUP(Y90,STARTOVKA,3,0)</f>
        <v>GAVENDA Miroslav</v>
      </c>
      <c r="Z91" s="380"/>
      <c r="AA91" s="257"/>
      <c r="AB91" s="258"/>
      <c r="AC91" s="259"/>
      <c r="AD91" s="380" t="str">
        <f>VLOOKUP(AD90,STARTOVKA,3,0)</f>
        <v>KLÁTIK David</v>
      </c>
      <c r="AE91" s="380"/>
      <c r="AF91" s="256"/>
      <c r="AG91" s="118"/>
      <c r="AH91" s="259"/>
      <c r="AI91" s="380" t="str">
        <f>VLOOKUP(AI90,STARTOVKA,3,0)</f>
        <v>HLOŽA Michal</v>
      </c>
      <c r="AJ91" s="380"/>
      <c r="AK91" s="257"/>
      <c r="AL91" s="118"/>
      <c r="AM91" s="259"/>
      <c r="AN91" s="380" t="str">
        <f>VLOOKUP(AN90,STARTOVKA,3,0)</f>
        <v>BISKUP Bartosz</v>
      </c>
      <c r="AO91" s="380"/>
      <c r="AP91" s="257"/>
      <c r="AQ91" s="258"/>
      <c r="AR91" s="259"/>
      <c r="AS91" s="380" t="str">
        <f>VLOOKUP(AS90,STARTOVKA,3,0)</f>
        <v>NOWAK Michał</v>
      </c>
      <c r="AT91" s="380"/>
      <c r="AU91" s="257"/>
      <c r="AV91" s="258"/>
      <c r="AW91" s="259"/>
      <c r="AX91" s="380" t="str">
        <f>VLOOKUP(AX90,STARTOVKA,3,0)</f>
        <v>SKIBIŃSKI Krzysztof</v>
      </c>
      <c r="AY91" s="380"/>
      <c r="AZ91" s="256"/>
    </row>
    <row r="92" spans="2:52" ht="18.75" customHeight="1" x14ac:dyDescent="0.3">
      <c r="B92" s="379"/>
      <c r="C92" s="252"/>
      <c r="D92" s="253"/>
      <c r="E92" s="260">
        <f ca="1">VLOOKUP(E90,INDIRECT($BB$1),8,0)</f>
        <v>8.8981481481481481E-2</v>
      </c>
      <c r="F92" s="261">
        <f ca="1">VLOOKUP(E90,INDIRECT($BB$1),9,0)</f>
        <v>1.08449074074074E-2</v>
      </c>
      <c r="G92" s="256"/>
      <c r="I92" s="253"/>
      <c r="J92" s="260">
        <f ca="1">VLOOKUP(J90,INDIRECT($BB$1),8,0)</f>
        <v>7.8252314814814816E-2</v>
      </c>
      <c r="K92" s="261">
        <f ca="1">VLOOKUP(J90,INDIRECT($BB$1),9,0)</f>
        <v>1.157407407407357E-4</v>
      </c>
      <c r="L92" s="256"/>
      <c r="N92" s="253"/>
      <c r="O92" s="260">
        <f ca="1">VLOOKUP(O90,INDIRECT($BB$1),8,0)</f>
        <v>8.0497685185185186E-2</v>
      </c>
      <c r="P92" s="261">
        <f ca="1">VLOOKUP(O90,INDIRECT($BB$1),9,0)</f>
        <v>2.3611111111111055E-3</v>
      </c>
      <c r="Q92" s="256"/>
      <c r="T92" s="260">
        <f ca="1">VLOOKUP(T90,INDIRECT($BB$1),8,0)</f>
        <v>7.8252314814814816E-2</v>
      </c>
      <c r="U92" s="261">
        <f ca="1">VLOOKUP(T90,INDIRECT($BB$1),9,0)</f>
        <v>1.157407407407357E-4</v>
      </c>
      <c r="V92" s="256"/>
      <c r="X92" s="253"/>
      <c r="Y92" s="260">
        <f ca="1">VLOOKUP(Y90,INDIRECT($BB$1),8,0)</f>
        <v>8.0497685185185186E-2</v>
      </c>
      <c r="Z92" s="261">
        <f ca="1">VLOOKUP(Y90,INDIRECT($BB$1),9,0)</f>
        <v>2.3611111111111055E-3</v>
      </c>
      <c r="AA92" s="256"/>
      <c r="AC92" s="253"/>
      <c r="AD92" s="260">
        <f ca="1">VLOOKUP(AD90,INDIRECT($BB$1),8,0)</f>
        <v>7.8252314814814816E-2</v>
      </c>
      <c r="AE92" s="261">
        <f ca="1">VLOOKUP(AD90,INDIRECT($BB$1),9,0)</f>
        <v>1.157407407407357E-4</v>
      </c>
      <c r="AF92" s="256"/>
      <c r="AG92" s="118"/>
      <c r="AH92" s="253"/>
      <c r="AI92" s="260">
        <f ca="1">VLOOKUP(AI90,INDIRECT($BB$1),8,0)</f>
        <v>8.1423611111111113E-2</v>
      </c>
      <c r="AJ92" s="261">
        <f ca="1">VLOOKUP(AI90,INDIRECT($BB$1),9,0)</f>
        <v>3.2870370370370328E-3</v>
      </c>
      <c r="AK92" s="256"/>
      <c r="AL92" s="118"/>
      <c r="AM92" s="253"/>
      <c r="AN92" s="260">
        <f ca="1">VLOOKUP(AN90,INDIRECT($BB$1),8,0)</f>
        <v>7.8252314814814816E-2</v>
      </c>
      <c r="AO92" s="261">
        <f ca="1">VLOOKUP(AN90,INDIRECT($BB$1),9,0)</f>
        <v>1.157407407407357E-4</v>
      </c>
      <c r="AP92" s="256"/>
      <c r="AR92" s="253"/>
      <c r="AS92" s="260">
        <f ca="1">VLOOKUP(AS90,INDIRECT($BB$1),8,0)</f>
        <v>8.2048611111111114E-2</v>
      </c>
      <c r="AT92" s="261">
        <f ca="1">VLOOKUP(AS90,INDIRECT($BB$1),9,0)</f>
        <v>3.9120370370370333E-3</v>
      </c>
      <c r="AU92" s="256"/>
      <c r="AW92" s="253"/>
      <c r="AX92" s="260">
        <f ca="1">VLOOKUP(AX90,INDIRECT($BB$1),8,0)</f>
        <v>9.1921296296296293E-2</v>
      </c>
      <c r="AY92" s="261">
        <f ca="1">VLOOKUP(AX90,INDIRECT($BB$1),9,0)</f>
        <v>1.3784722222222212E-2</v>
      </c>
      <c r="AZ92" s="256"/>
    </row>
    <row r="93" spans="2:52" ht="3" customHeight="1" x14ac:dyDescent="0.3">
      <c r="B93" s="262"/>
      <c r="D93" s="263"/>
      <c r="E93" s="264"/>
      <c r="F93" s="264"/>
      <c r="G93" s="265"/>
      <c r="I93" s="263"/>
      <c r="J93" s="264"/>
      <c r="K93" s="264"/>
      <c r="L93" s="265"/>
      <c r="N93" s="263"/>
      <c r="O93" s="264"/>
      <c r="P93" s="264"/>
      <c r="Q93" s="265"/>
      <c r="T93" s="264"/>
      <c r="U93" s="264"/>
      <c r="V93" s="265"/>
      <c r="X93" s="263"/>
      <c r="Y93" s="264"/>
      <c r="Z93" s="264"/>
      <c r="AA93" s="265"/>
      <c r="AC93" s="263"/>
      <c r="AD93" s="264"/>
      <c r="AE93" s="264"/>
      <c r="AF93" s="265"/>
      <c r="AG93" s="264"/>
      <c r="AH93" s="263"/>
      <c r="AI93" s="264"/>
      <c r="AJ93" s="264"/>
      <c r="AK93" s="265"/>
      <c r="AL93" s="264"/>
      <c r="AM93" s="263"/>
      <c r="AN93" s="264"/>
      <c r="AO93" s="264"/>
      <c r="AP93" s="265"/>
      <c r="AR93" s="263"/>
      <c r="AS93" s="264"/>
      <c r="AT93" s="264"/>
      <c r="AU93" s="265"/>
      <c r="AW93" s="263"/>
      <c r="AX93" s="264"/>
      <c r="AY93" s="264"/>
      <c r="AZ93" s="265"/>
    </row>
    <row r="94" spans="2:52" ht="3" customHeight="1" x14ac:dyDescent="0.3"/>
    <row r="95" spans="2:52" ht="3" customHeight="1" x14ac:dyDescent="0.3">
      <c r="B95" s="248"/>
      <c r="D95" s="249"/>
      <c r="E95" s="250"/>
      <c r="F95" s="250"/>
      <c r="G95" s="251"/>
      <c r="I95" s="249"/>
      <c r="J95" s="250"/>
      <c r="K95" s="250"/>
      <c r="L95" s="251"/>
      <c r="N95" s="249"/>
      <c r="O95" s="250"/>
      <c r="P95" s="250"/>
      <c r="Q95" s="251"/>
      <c r="T95" s="250"/>
      <c r="U95" s="250"/>
      <c r="V95" s="251"/>
      <c r="X95" s="249"/>
      <c r="Y95" s="250"/>
      <c r="Z95" s="250"/>
      <c r="AA95" s="251"/>
      <c r="AC95" s="249"/>
      <c r="AD95" s="250"/>
      <c r="AE95" s="250"/>
      <c r="AF95" s="251"/>
      <c r="AG95" s="250"/>
      <c r="AH95" s="249"/>
      <c r="AI95" s="250"/>
      <c r="AJ95" s="250"/>
      <c r="AK95" s="251"/>
      <c r="AL95" s="250"/>
      <c r="AM95" s="249"/>
      <c r="AN95" s="250"/>
      <c r="AO95" s="250"/>
      <c r="AP95" s="251"/>
      <c r="AR95" s="249"/>
      <c r="AS95" s="250"/>
      <c r="AT95" s="250"/>
      <c r="AU95" s="251"/>
      <c r="AW95" s="249"/>
      <c r="AX95" s="250"/>
      <c r="AY95" s="250"/>
      <c r="AZ95" s="251"/>
    </row>
    <row r="96" spans="2:52" ht="18.75" customHeight="1" x14ac:dyDescent="0.3">
      <c r="B96" s="379" t="s">
        <v>628</v>
      </c>
      <c r="C96" s="252"/>
      <c r="D96" s="253"/>
      <c r="E96" s="254">
        <v>141</v>
      </c>
      <c r="F96" s="255">
        <f ca="1">VLOOKUP(E96,INDIRECT($BB$1),12,0)</f>
        <v>108</v>
      </c>
      <c r="G96" s="256"/>
      <c r="I96" s="253"/>
      <c r="J96" s="254">
        <v>142</v>
      </c>
      <c r="K96" s="255">
        <f ca="1">VLOOKUP(J96,INDIRECT($BB$1),12,0)</f>
        <v>129</v>
      </c>
      <c r="L96" s="256"/>
      <c r="N96" s="253"/>
      <c r="O96" s="254">
        <v>143</v>
      </c>
      <c r="P96" s="255">
        <f ca="1">VLOOKUP(O96,INDIRECT($BB$1),12,0)</f>
        <v>98</v>
      </c>
      <c r="Q96" s="256"/>
      <c r="T96" s="254">
        <v>144</v>
      </c>
      <c r="U96" s="255">
        <f ca="1">VLOOKUP(T96,INDIRECT($BB$1),12,0)</f>
        <v>122</v>
      </c>
      <c r="V96" s="256"/>
      <c r="X96" s="253"/>
      <c r="Y96" s="254">
        <v>145</v>
      </c>
      <c r="Z96" s="255">
        <f ca="1">VLOOKUP(Y96,INDIRECT($BB$1),12,0)</f>
        <v>97</v>
      </c>
      <c r="AA96" s="256"/>
      <c r="AC96" s="253"/>
      <c r="AD96" s="254">
        <v>146</v>
      </c>
      <c r="AE96" s="255">
        <f ca="1">VLOOKUP(AD96,INDIRECT($BB$1),12,0)</f>
        <v>32</v>
      </c>
      <c r="AF96" s="256"/>
      <c r="AG96" s="118"/>
      <c r="AH96" s="253"/>
      <c r="AI96" s="254">
        <v>147</v>
      </c>
      <c r="AJ96" s="255">
        <f ca="1">VLOOKUP(AI96,INDIRECT($BB$1),12,0)</f>
        <v>31</v>
      </c>
      <c r="AK96" s="256"/>
      <c r="AL96" s="118"/>
      <c r="AM96" s="253"/>
      <c r="AN96" s="254">
        <v>148</v>
      </c>
      <c r="AO96" s="255">
        <f ca="1">VLOOKUP(AN96,INDIRECT($BB$1),12,0)</f>
        <v>99</v>
      </c>
      <c r="AP96" s="256"/>
      <c r="AR96" s="253"/>
      <c r="AS96" s="254">
        <v>149</v>
      </c>
      <c r="AT96" s="255" t="str">
        <f ca="1">VLOOKUP(AS96,INDIRECT($BB$1),12,0)</f>
        <v>DNF</v>
      </c>
      <c r="AU96" s="256"/>
      <c r="AW96" s="253"/>
      <c r="AX96" s="254">
        <v>150</v>
      </c>
      <c r="AY96" s="255">
        <f ca="1">VLOOKUP(AX96,INDIRECT($BB$1),12,0)</f>
        <v>42</v>
      </c>
      <c r="AZ96" s="256"/>
    </row>
    <row r="97" spans="2:52" ht="12.15" customHeight="1" x14ac:dyDescent="0.3">
      <c r="B97" s="379"/>
      <c r="C97" s="252"/>
      <c r="D97" s="253"/>
      <c r="E97" s="380" t="str">
        <f>VLOOKUP(E96,STARTOVKA,3,0)</f>
        <v>COMA Richard</v>
      </c>
      <c r="F97" s="380"/>
      <c r="G97" s="257"/>
      <c r="H97" s="258"/>
      <c r="I97" s="259"/>
      <c r="J97" s="380" t="str">
        <f>VLOOKUP(J96,STARTOVKA,3,0)</f>
        <v>BUČKO Adam</v>
      </c>
      <c r="K97" s="380"/>
      <c r="L97" s="257"/>
      <c r="M97" s="258"/>
      <c r="N97" s="259"/>
      <c r="O97" s="380" t="str">
        <f>VLOOKUP(O96,STARTOVKA,3,0)</f>
        <v>JANUŠ Pavol</v>
      </c>
      <c r="P97" s="380"/>
      <c r="Q97" s="257"/>
      <c r="R97" s="258"/>
      <c r="S97" s="258"/>
      <c r="T97" s="380" t="str">
        <f>VLOOKUP(T96,STARTOVKA,3,0)</f>
        <v>PERSON Tomáš</v>
      </c>
      <c r="U97" s="380"/>
      <c r="V97" s="257"/>
      <c r="W97" s="258"/>
      <c r="X97" s="259"/>
      <c r="Y97" s="380" t="str">
        <f>VLOOKUP(Y96,STARTOVKA,3,0)</f>
        <v xml:space="preserve">CIHLÁŘ Adam </v>
      </c>
      <c r="Z97" s="380"/>
      <c r="AA97" s="257"/>
      <c r="AB97" s="258"/>
      <c r="AC97" s="259"/>
      <c r="AD97" s="380" t="str">
        <f>VLOOKUP(AD96,STARTOVKA,3,0)</f>
        <v xml:space="preserve">DVOŘÁK Jakub </v>
      </c>
      <c r="AE97" s="380"/>
      <c r="AF97" s="256"/>
      <c r="AG97" s="118"/>
      <c r="AH97" s="259"/>
      <c r="AI97" s="380" t="str">
        <f>VLOOKUP(AI96,STARTOVKA,3,0)</f>
        <v xml:space="preserve">KOTOUČEK Matěj </v>
      </c>
      <c r="AJ97" s="380"/>
      <c r="AK97" s="257"/>
      <c r="AL97" s="118"/>
      <c r="AM97" s="259"/>
      <c r="AN97" s="380" t="str">
        <f>VLOOKUP(AN96,STARTOVKA,3,0)</f>
        <v xml:space="preserve">POTŮČEK Šimon </v>
      </c>
      <c r="AO97" s="380"/>
      <c r="AP97" s="257"/>
      <c r="AQ97" s="258"/>
      <c r="AR97" s="259"/>
      <c r="AS97" s="380" t="str">
        <f>VLOOKUP(AS96,STARTOVKA,3,0)</f>
        <v xml:space="preserve">VOSTREJŽ David </v>
      </c>
      <c r="AT97" s="380"/>
      <c r="AU97" s="257"/>
      <c r="AV97" s="258"/>
      <c r="AW97" s="259"/>
      <c r="AX97" s="380" t="str">
        <f>VLOOKUP(AX96,STARTOVKA,3,0)</f>
        <v>PRUDEK Dominik</v>
      </c>
      <c r="AY97" s="380"/>
      <c r="AZ97" s="256"/>
    </row>
    <row r="98" spans="2:52" ht="18.75" customHeight="1" x14ac:dyDescent="0.3">
      <c r="B98" s="379"/>
      <c r="C98" s="252"/>
      <c r="D98" s="253"/>
      <c r="E98" s="260">
        <f ca="1">VLOOKUP(E96,INDIRECT($BB$1),8,0)</f>
        <v>8.8981481481481481E-2</v>
      </c>
      <c r="F98" s="261">
        <f ca="1">VLOOKUP(E96,INDIRECT($BB$1),9,0)</f>
        <v>1.08449074074074E-2</v>
      </c>
      <c r="G98" s="256"/>
      <c r="I98" s="253"/>
      <c r="J98" s="260">
        <f ca="1">VLOOKUP(J96,INDIRECT($BB$1),8,0)</f>
        <v>0.10581018518518519</v>
      </c>
      <c r="K98" s="261">
        <f ca="1">VLOOKUP(J96,INDIRECT($BB$1),9,0)</f>
        <v>2.7673611111111107E-2</v>
      </c>
      <c r="L98" s="256"/>
      <c r="N98" s="253"/>
      <c r="O98" s="260">
        <f ca="1">VLOOKUP(O96,INDIRECT($BB$1),8,0)</f>
        <v>8.4247685185185175E-2</v>
      </c>
      <c r="P98" s="261">
        <f ca="1">VLOOKUP(O96,INDIRECT($BB$1),9,0)</f>
        <v>6.111111111111095E-3</v>
      </c>
      <c r="Q98" s="256"/>
      <c r="T98" s="260">
        <f ca="1">VLOOKUP(T96,INDIRECT($BB$1),8,0)</f>
        <v>9.1921296296296293E-2</v>
      </c>
      <c r="U98" s="261">
        <f ca="1">VLOOKUP(T96,INDIRECT($BB$1),9,0)</f>
        <v>1.3784722222222212E-2</v>
      </c>
      <c r="V98" s="256"/>
      <c r="X98" s="253"/>
      <c r="Y98" s="260">
        <f ca="1">VLOOKUP(Y96,INDIRECT($BB$1),8,0)</f>
        <v>8.4247685185185175E-2</v>
      </c>
      <c r="Z98" s="261">
        <f ca="1">VLOOKUP(Y96,INDIRECT($BB$1),9,0)</f>
        <v>6.111111111111095E-3</v>
      </c>
      <c r="AA98" s="256"/>
      <c r="AC98" s="253"/>
      <c r="AD98" s="260">
        <f ca="1">VLOOKUP(AD96,INDIRECT($BB$1),8,0)</f>
        <v>7.8252314814814816E-2</v>
      </c>
      <c r="AE98" s="261">
        <f ca="1">VLOOKUP(AD96,INDIRECT($BB$1),9,0)</f>
        <v>1.157407407407357E-4</v>
      </c>
      <c r="AF98" s="256"/>
      <c r="AG98" s="118"/>
      <c r="AH98" s="253"/>
      <c r="AI98" s="260">
        <f ca="1">VLOOKUP(AI96,INDIRECT($BB$1),8,0)</f>
        <v>7.8252314814814816E-2</v>
      </c>
      <c r="AJ98" s="261">
        <f ca="1">VLOOKUP(AI96,INDIRECT($BB$1),9,0)</f>
        <v>1.157407407407357E-4</v>
      </c>
      <c r="AK98" s="256"/>
      <c r="AL98" s="118"/>
      <c r="AM98" s="253"/>
      <c r="AN98" s="260">
        <f ca="1">VLOOKUP(AN96,INDIRECT($BB$1),8,0)</f>
        <v>8.4247685185185175E-2</v>
      </c>
      <c r="AO98" s="261">
        <f ca="1">VLOOKUP(AN96,INDIRECT($BB$1),9,0)</f>
        <v>6.111111111111095E-3</v>
      </c>
      <c r="AP98" s="256"/>
      <c r="AR98" s="253"/>
      <c r="AS98" s="260" t="str">
        <f ca="1">VLOOKUP(AS96,INDIRECT($BB$1),8,0)</f>
        <v>DNF</v>
      </c>
      <c r="AT98" s="261" t="str">
        <f ca="1">VLOOKUP(AS96,INDIRECT($BB$1),9,0)</f>
        <v>DNF</v>
      </c>
      <c r="AU98" s="256"/>
      <c r="AW98" s="253"/>
      <c r="AX98" s="260">
        <f ca="1">VLOOKUP(AX96,INDIRECT($BB$1),8,0)</f>
        <v>7.8252314814814816E-2</v>
      </c>
      <c r="AY98" s="261">
        <f ca="1">VLOOKUP(AX96,INDIRECT($BB$1),9,0)</f>
        <v>1.157407407407357E-4</v>
      </c>
      <c r="AZ98" s="256"/>
    </row>
    <row r="99" spans="2:52" ht="3" customHeight="1" x14ac:dyDescent="0.3">
      <c r="B99" s="262"/>
      <c r="D99" s="263"/>
      <c r="E99" s="264"/>
      <c r="F99" s="264"/>
      <c r="G99" s="265"/>
      <c r="I99" s="263"/>
      <c r="J99" s="264"/>
      <c r="K99" s="264"/>
      <c r="L99" s="265"/>
      <c r="N99" s="263"/>
      <c r="O99" s="264"/>
      <c r="P99" s="264"/>
      <c r="Q99" s="265"/>
      <c r="T99" s="264"/>
      <c r="U99" s="264"/>
      <c r="V99" s="265"/>
      <c r="X99" s="263"/>
      <c r="Y99" s="264"/>
      <c r="Z99" s="264"/>
      <c r="AA99" s="265"/>
      <c r="AC99" s="263"/>
      <c r="AD99" s="264"/>
      <c r="AE99" s="264"/>
      <c r="AF99" s="265"/>
      <c r="AG99" s="264"/>
      <c r="AH99" s="263"/>
      <c r="AI99" s="264"/>
      <c r="AJ99" s="264"/>
      <c r="AK99" s="265"/>
      <c r="AL99" s="264"/>
      <c r="AM99" s="263"/>
      <c r="AN99" s="264"/>
      <c r="AO99" s="264"/>
      <c r="AP99" s="265"/>
      <c r="AR99" s="263"/>
      <c r="AS99" s="264"/>
      <c r="AT99" s="264"/>
      <c r="AU99" s="265"/>
      <c r="AW99" s="263"/>
      <c r="AX99" s="264"/>
      <c r="AY99" s="264"/>
      <c r="AZ99" s="265"/>
    </row>
    <row r="100" spans="2:52" ht="3" customHeight="1" x14ac:dyDescent="0.3"/>
    <row r="101" spans="2:52" ht="3" customHeight="1" x14ac:dyDescent="0.3">
      <c r="B101" s="248"/>
      <c r="D101" s="249"/>
      <c r="E101" s="250"/>
      <c r="F101" s="250"/>
      <c r="G101" s="251"/>
      <c r="I101" s="249"/>
      <c r="J101" s="250"/>
      <c r="K101" s="250"/>
      <c r="L101" s="251"/>
      <c r="N101" s="249"/>
      <c r="O101" s="250"/>
      <c r="P101" s="250"/>
      <c r="Q101" s="251"/>
      <c r="T101" s="250"/>
      <c r="U101" s="250"/>
      <c r="V101" s="251"/>
      <c r="X101" s="249"/>
      <c r="Y101" s="250"/>
      <c r="Z101" s="250"/>
      <c r="AA101" s="251"/>
      <c r="AC101" s="249"/>
      <c r="AD101" s="250"/>
      <c r="AE101" s="250"/>
      <c r="AF101" s="251"/>
      <c r="AG101" s="250"/>
      <c r="AH101" s="249"/>
      <c r="AI101" s="250"/>
      <c r="AJ101" s="250"/>
      <c r="AK101" s="251"/>
      <c r="AL101" s="250"/>
      <c r="AM101" s="249"/>
      <c r="AN101" s="250"/>
      <c r="AO101" s="250"/>
      <c r="AP101" s="251"/>
      <c r="AR101" s="249"/>
      <c r="AS101" s="250"/>
      <c r="AT101" s="250"/>
      <c r="AU101" s="251"/>
      <c r="AW101" s="249"/>
      <c r="AX101" s="250"/>
      <c r="AY101" s="250"/>
      <c r="AZ101" s="251"/>
    </row>
    <row r="102" spans="2:52" ht="18.75" customHeight="1" x14ac:dyDescent="0.3">
      <c r="B102" s="379" t="s">
        <v>650</v>
      </c>
      <c r="C102" s="252"/>
      <c r="D102" s="253"/>
      <c r="E102" s="254">
        <v>151</v>
      </c>
      <c r="F102" s="255">
        <f ca="1">VLOOKUP(E102,INDIRECT($BB$1),12,0)</f>
        <v>96</v>
      </c>
      <c r="G102" s="256"/>
      <c r="I102" s="253"/>
      <c r="J102" s="254">
        <v>152</v>
      </c>
      <c r="K102" s="255">
        <f ca="1">VLOOKUP(J102,INDIRECT($BB$1),12,0)</f>
        <v>100</v>
      </c>
      <c r="L102" s="256"/>
      <c r="N102" s="253"/>
      <c r="O102" s="254">
        <v>153</v>
      </c>
      <c r="P102" s="255">
        <f ca="1">VLOOKUP(O102,INDIRECT($BB$1),12,0)</f>
        <v>105</v>
      </c>
      <c r="Q102" s="256"/>
      <c r="T102" s="254">
        <v>154</v>
      </c>
      <c r="U102" s="255">
        <f ca="1">VLOOKUP(T102,INDIRECT($BB$1),12,0)</f>
        <v>102</v>
      </c>
      <c r="V102" s="256"/>
      <c r="X102" s="253"/>
      <c r="Y102" s="254">
        <v>155</v>
      </c>
      <c r="Z102" s="255">
        <f ca="1">VLOOKUP(Y102,INDIRECT($BB$1),12,0)</f>
        <v>104</v>
      </c>
      <c r="AA102" s="256"/>
      <c r="AC102" s="253"/>
      <c r="AD102" s="254">
        <v>156</v>
      </c>
      <c r="AE102" s="255">
        <f ca="1">VLOOKUP(AD102,INDIRECT($BB$1),12,0)</f>
        <v>7</v>
      </c>
      <c r="AF102" s="256"/>
      <c r="AG102" s="118"/>
      <c r="AH102" s="253"/>
      <c r="AI102" s="254">
        <v>157</v>
      </c>
      <c r="AJ102" s="255">
        <f ca="1">VLOOKUP(AI102,INDIRECT($BB$1),12,0)</f>
        <v>80</v>
      </c>
      <c r="AK102" s="256"/>
      <c r="AL102" s="118"/>
      <c r="AM102" s="253"/>
      <c r="AN102" s="254">
        <v>158</v>
      </c>
      <c r="AO102" s="255">
        <f ca="1">VLOOKUP(AN102,INDIRECT($BB$1),12,0)</f>
        <v>4</v>
      </c>
      <c r="AP102" s="256"/>
      <c r="AR102" s="253"/>
      <c r="AS102" s="254">
        <v>159</v>
      </c>
      <c r="AT102" s="255">
        <f ca="1">VLOOKUP(AS102,INDIRECT($BB$1),12,0)</f>
        <v>125</v>
      </c>
      <c r="AU102" s="256"/>
      <c r="AW102" s="253"/>
      <c r="AX102" s="254">
        <v>160</v>
      </c>
      <c r="AY102" s="255" t="str">
        <f ca="1">VLOOKUP(AX102,INDIRECT($BB$1),12,0)</f>
        <v>DNF</v>
      </c>
      <c r="AZ102" s="256"/>
    </row>
    <row r="103" spans="2:52" ht="12.15" customHeight="1" x14ac:dyDescent="0.3">
      <c r="B103" s="379"/>
      <c r="C103" s="252"/>
      <c r="D103" s="253"/>
      <c r="E103" s="380" t="str">
        <f>VLOOKUP(E102,STARTOVKA,3,0)</f>
        <v>MANOWSKI Mateusz</v>
      </c>
      <c r="F103" s="380"/>
      <c r="G103" s="257"/>
      <c r="H103" s="258"/>
      <c r="I103" s="259"/>
      <c r="J103" s="380" t="str">
        <f>VLOOKUP(J102,STARTOVKA,3,0)</f>
        <v>WENGLORZ Michał</v>
      </c>
      <c r="K103" s="380"/>
      <c r="L103" s="257"/>
      <c r="M103" s="258"/>
      <c r="N103" s="259"/>
      <c r="O103" s="380" t="str">
        <f>VLOOKUP(O102,STARTOVKA,3,0)</f>
        <v>APPELTAUER Samuel</v>
      </c>
      <c r="P103" s="380"/>
      <c r="Q103" s="257"/>
      <c r="R103" s="258"/>
      <c r="S103" s="258"/>
      <c r="T103" s="380" t="str">
        <f>VLOOKUP(T102,STARTOVKA,3,0)</f>
        <v>EDELBAUER Tobias</v>
      </c>
      <c r="U103" s="380"/>
      <c r="V103" s="257"/>
      <c r="W103" s="258"/>
      <c r="X103" s="259"/>
      <c r="Y103" s="380" t="str">
        <f>VLOOKUP(Y102,STARTOVKA,3,0)</f>
        <v>GRASL Patrick</v>
      </c>
      <c r="Z103" s="380"/>
      <c r="AA103" s="257"/>
      <c r="AB103" s="258"/>
      <c r="AC103" s="259"/>
      <c r="AD103" s="380" t="str">
        <f>VLOOKUP(AD102,STARTOVKA,3,0)</f>
        <v>GRUBER Julian</v>
      </c>
      <c r="AE103" s="380"/>
      <c r="AF103" s="256"/>
      <c r="AG103" s="118"/>
      <c r="AH103" s="259"/>
      <c r="AI103" s="380" t="str">
        <f>VLOOKUP(AI102,STARTOVKA,3,0)</f>
        <v>STIDL Timo</v>
      </c>
      <c r="AJ103" s="380"/>
      <c r="AK103" s="257"/>
      <c r="AL103" s="118"/>
      <c r="AM103" s="259"/>
      <c r="AN103" s="380" t="str">
        <f>VLOOKUP(AN102,STARTOVKA,3,0)</f>
        <v>KUKLEWICZ Karol</v>
      </c>
      <c r="AO103" s="380"/>
      <c r="AP103" s="257"/>
      <c r="AQ103" s="258"/>
      <c r="AR103" s="259"/>
      <c r="AS103" s="380" t="str">
        <f>VLOOKUP(AS102,STARTOVKA,3,0)</f>
        <v>KUŚ Adam</v>
      </c>
      <c r="AT103" s="380"/>
      <c r="AU103" s="257"/>
      <c r="AV103" s="258"/>
      <c r="AW103" s="259"/>
      <c r="AX103" s="380" t="str">
        <f>VLOOKUP(AX102,STARTOVKA,3,0)</f>
        <v>WŁODARCZYK Damian</v>
      </c>
      <c r="AY103" s="380"/>
      <c r="AZ103" s="256"/>
    </row>
    <row r="104" spans="2:52" ht="18.75" customHeight="1" x14ac:dyDescent="0.3">
      <c r="B104" s="379"/>
      <c r="C104" s="252"/>
      <c r="D104" s="253"/>
      <c r="E104" s="260">
        <f ca="1">VLOOKUP(E102,INDIRECT($BB$1),8,0)</f>
        <v>8.4247685185185175E-2</v>
      </c>
      <c r="F104" s="261">
        <f ca="1">VLOOKUP(E102,INDIRECT($BB$1),9,0)</f>
        <v>6.111111111111095E-3</v>
      </c>
      <c r="G104" s="256"/>
      <c r="I104" s="253"/>
      <c r="J104" s="260">
        <f ca="1">VLOOKUP(J102,INDIRECT($BB$1),8,0)</f>
        <v>8.4247685185185175E-2</v>
      </c>
      <c r="K104" s="261">
        <f ca="1">VLOOKUP(J102,INDIRECT($BB$1),9,0)</f>
        <v>6.111111111111095E-3</v>
      </c>
      <c r="L104" s="256"/>
      <c r="N104" s="253"/>
      <c r="O104" s="260">
        <f ca="1">VLOOKUP(O102,INDIRECT($BB$1),8,0)</f>
        <v>8.6249999999999993E-2</v>
      </c>
      <c r="P104" s="261">
        <f ca="1">VLOOKUP(O102,INDIRECT($BB$1),9,0)</f>
        <v>8.1134259259259128E-3</v>
      </c>
      <c r="Q104" s="256"/>
      <c r="T104" s="260">
        <f ca="1">VLOOKUP(T102,INDIRECT($BB$1),8,0)</f>
        <v>8.4537037037037036E-2</v>
      </c>
      <c r="U104" s="261">
        <f ca="1">VLOOKUP(T102,INDIRECT($BB$1),9,0)</f>
        <v>6.400462962962955E-3</v>
      </c>
      <c r="V104" s="256"/>
      <c r="X104" s="253"/>
      <c r="Y104" s="260">
        <f ca="1">VLOOKUP(Y102,INDIRECT($BB$1),8,0)</f>
        <v>8.519675925925925E-2</v>
      </c>
      <c r="Z104" s="261">
        <f ca="1">VLOOKUP(Y102,INDIRECT($BB$1),9,0)</f>
        <v>7.0601851851851694E-3</v>
      </c>
      <c r="AA104" s="256"/>
      <c r="AC104" s="253"/>
      <c r="AD104" s="260">
        <f ca="1">VLOOKUP(AD102,INDIRECT($BB$1),8,0)</f>
        <v>7.8252314814814816E-2</v>
      </c>
      <c r="AE104" s="261">
        <f ca="1">VLOOKUP(AD102,INDIRECT($BB$1),9,0)</f>
        <v>1.157407407407357E-4</v>
      </c>
      <c r="AF104" s="256"/>
      <c r="AG104" s="118"/>
      <c r="AH104" s="253"/>
      <c r="AI104" s="260">
        <f ca="1">VLOOKUP(AI102,INDIRECT($BB$1),8,0)</f>
        <v>7.885416666666667E-2</v>
      </c>
      <c r="AJ104" s="261">
        <f ca="1">VLOOKUP(AI102,INDIRECT($BB$1),9,0)</f>
        <v>7.1759259259258912E-4</v>
      </c>
      <c r="AK104" s="256"/>
      <c r="AL104" s="118"/>
      <c r="AM104" s="253"/>
      <c r="AN104" s="260">
        <f ca="1">VLOOKUP(AN102,INDIRECT($BB$1),8,0)</f>
        <v>7.8252314814814816E-2</v>
      </c>
      <c r="AO104" s="261">
        <f ca="1">VLOOKUP(AN102,INDIRECT($BB$1),9,0)</f>
        <v>1.157407407407357E-4</v>
      </c>
      <c r="AP104" s="256"/>
      <c r="AR104" s="253"/>
      <c r="AS104" s="260">
        <f ca="1">VLOOKUP(AS102,INDIRECT($BB$1),8,0)</f>
        <v>9.1921296296296293E-2</v>
      </c>
      <c r="AT104" s="261">
        <f ca="1">VLOOKUP(AS102,INDIRECT($BB$1),9,0)</f>
        <v>1.3784722222222212E-2</v>
      </c>
      <c r="AU104" s="256"/>
      <c r="AW104" s="253"/>
      <c r="AX104" s="260" t="str">
        <f ca="1">VLOOKUP(AX102,INDIRECT($BB$1),8,0)</f>
        <v>DNF</v>
      </c>
      <c r="AY104" s="261" t="str">
        <f ca="1">VLOOKUP(AX102,INDIRECT($BB$1),9,0)</f>
        <v>DNF</v>
      </c>
      <c r="AZ104" s="256"/>
    </row>
    <row r="105" spans="2:52" ht="3" customHeight="1" x14ac:dyDescent="0.3">
      <c r="B105" s="262"/>
      <c r="D105" s="263"/>
      <c r="E105" s="264"/>
      <c r="F105" s="264"/>
      <c r="G105" s="265"/>
      <c r="I105" s="263"/>
      <c r="J105" s="264"/>
      <c r="K105" s="264"/>
      <c r="L105" s="265"/>
      <c r="N105" s="263"/>
      <c r="O105" s="264"/>
      <c r="P105" s="264"/>
      <c r="Q105" s="265"/>
      <c r="T105" s="264"/>
      <c r="U105" s="264"/>
      <c r="V105" s="265"/>
      <c r="X105" s="263"/>
      <c r="Y105" s="264"/>
      <c r="Z105" s="264"/>
      <c r="AA105" s="265"/>
      <c r="AC105" s="263"/>
      <c r="AD105" s="264"/>
      <c r="AE105" s="264"/>
      <c r="AF105" s="265"/>
      <c r="AG105" s="264"/>
      <c r="AH105" s="263"/>
      <c r="AI105" s="264"/>
      <c r="AJ105" s="264"/>
      <c r="AK105" s="265"/>
      <c r="AL105" s="264"/>
      <c r="AM105" s="263"/>
      <c r="AN105" s="264"/>
      <c r="AO105" s="264"/>
      <c r="AP105" s="265"/>
      <c r="AR105" s="263"/>
      <c r="AS105" s="264"/>
      <c r="AT105" s="264"/>
      <c r="AU105" s="265"/>
      <c r="AW105" s="263"/>
      <c r="AX105" s="264"/>
      <c r="AY105" s="264"/>
      <c r="AZ105" s="265"/>
    </row>
    <row r="106" spans="2:52" ht="3" customHeight="1" x14ac:dyDescent="0.3"/>
    <row r="107" spans="2:52" ht="3" customHeight="1" x14ac:dyDescent="0.3">
      <c r="B107" s="248"/>
      <c r="D107" s="249"/>
      <c r="E107" s="250"/>
      <c r="F107" s="250"/>
      <c r="G107" s="251"/>
      <c r="I107" s="249"/>
      <c r="J107" s="250"/>
      <c r="K107" s="250"/>
      <c r="L107" s="251"/>
      <c r="N107" s="249"/>
      <c r="O107" s="250"/>
      <c r="P107" s="250"/>
      <c r="Q107" s="251"/>
      <c r="T107" s="250"/>
      <c r="U107" s="250"/>
      <c r="V107" s="251"/>
      <c r="X107" s="249"/>
      <c r="Y107" s="250"/>
      <c r="Z107" s="250"/>
      <c r="AA107" s="251"/>
      <c r="AC107" s="249"/>
      <c r="AD107" s="250"/>
      <c r="AE107" s="250"/>
      <c r="AF107" s="251"/>
      <c r="AG107" s="250"/>
      <c r="AH107" s="249"/>
      <c r="AI107" s="250"/>
      <c r="AJ107" s="250"/>
      <c r="AK107" s="251"/>
      <c r="AL107" s="250"/>
      <c r="AM107" s="249"/>
      <c r="AN107" s="250"/>
      <c r="AO107" s="250"/>
      <c r="AP107" s="251"/>
      <c r="AR107" s="249"/>
      <c r="AS107" s="250"/>
      <c r="AT107" s="250"/>
      <c r="AU107" s="251"/>
      <c r="AW107" s="249"/>
      <c r="AX107" s="250"/>
      <c r="AY107" s="250"/>
      <c r="AZ107" s="251"/>
    </row>
    <row r="108" spans="2:52" ht="18.75" customHeight="1" x14ac:dyDescent="0.3">
      <c r="B108" s="379" t="s">
        <v>279</v>
      </c>
      <c r="C108" s="252"/>
      <c r="D108" s="253"/>
      <c r="E108" s="254">
        <v>161</v>
      </c>
      <c r="F108" s="255">
        <f ca="1">VLOOKUP(E108,INDIRECT($BB$1),12,0)</f>
        <v>41</v>
      </c>
      <c r="G108" s="256"/>
      <c r="I108" s="253"/>
      <c r="J108" s="254">
        <v>162</v>
      </c>
      <c r="K108" s="255">
        <f ca="1">VLOOKUP(J108,INDIRECT($BB$1),12,0)</f>
        <v>58</v>
      </c>
      <c r="L108" s="256"/>
      <c r="N108" s="253"/>
      <c r="O108" s="254">
        <v>163</v>
      </c>
      <c r="P108" s="255">
        <f ca="1">VLOOKUP(O108,INDIRECT($BB$1),12,0)</f>
        <v>17</v>
      </c>
      <c r="Q108" s="256"/>
      <c r="T108" s="254">
        <v>164</v>
      </c>
      <c r="U108" s="255" t="str">
        <f ca="1">VLOOKUP(T108,INDIRECT($BB$1),12,0)</f>
        <v>DNF</v>
      </c>
      <c r="V108" s="256"/>
      <c r="X108" s="253"/>
      <c r="Y108" s="254">
        <v>165</v>
      </c>
      <c r="Z108" s="255">
        <f ca="1">VLOOKUP(Y108,INDIRECT($BB$1),12,0)</f>
        <v>60</v>
      </c>
      <c r="AA108" s="256"/>
      <c r="AC108" s="253"/>
      <c r="AD108" s="254">
        <v>166</v>
      </c>
      <c r="AE108" s="255">
        <f ca="1">VLOOKUP(AD108,INDIRECT($BB$1),12,0)</f>
        <v>74</v>
      </c>
      <c r="AF108" s="256"/>
      <c r="AG108" s="118"/>
      <c r="AH108" s="253"/>
      <c r="AI108" s="254">
        <v>167</v>
      </c>
      <c r="AJ108" s="255">
        <f ca="1">VLOOKUP(AI108,INDIRECT($BB$1),12,0)</f>
        <v>101</v>
      </c>
      <c r="AK108" s="256"/>
      <c r="AL108" s="118"/>
      <c r="AM108" s="253"/>
      <c r="AN108" s="254"/>
      <c r="AO108" s="255"/>
      <c r="AP108" s="256"/>
      <c r="AR108" s="253"/>
      <c r="AS108" s="254"/>
      <c r="AT108" s="255"/>
      <c r="AU108" s="256"/>
      <c r="AW108" s="253"/>
      <c r="AX108" s="254"/>
      <c r="AY108" s="255"/>
      <c r="AZ108" s="256"/>
    </row>
    <row r="109" spans="2:52" ht="12.15" customHeight="1" x14ac:dyDescent="0.3">
      <c r="B109" s="379"/>
      <c r="C109" s="252"/>
      <c r="D109" s="253"/>
      <c r="E109" s="380" t="str">
        <f>VLOOKUP(E108,STARTOVKA,3,0)</f>
        <v>FRIEDRICH Marco</v>
      </c>
      <c r="F109" s="380"/>
      <c r="G109" s="257"/>
      <c r="H109" s="258"/>
      <c r="I109" s="259"/>
      <c r="J109" s="380" t="str">
        <f>VLOOKUP(J108,STARTOVKA,3,0)</f>
        <v>GURSCH Georg</v>
      </c>
      <c r="K109" s="380"/>
      <c r="L109" s="257"/>
      <c r="M109" s="258"/>
      <c r="N109" s="259"/>
      <c r="O109" s="380" t="str">
        <f>VLOOKUP(O108,STARTOVKA,3,0)</f>
        <v>IRENDORFER Moritz</v>
      </c>
      <c r="P109" s="380"/>
      <c r="Q109" s="257"/>
      <c r="R109" s="258"/>
      <c r="S109" s="258"/>
      <c r="T109" s="380" t="str">
        <f>VLOOKUP(T108,STARTOVKA,3,0)</f>
        <v>MOSER Max</v>
      </c>
      <c r="U109" s="380"/>
      <c r="V109" s="257"/>
      <c r="W109" s="258"/>
      <c r="X109" s="259"/>
      <c r="Y109" s="380" t="str">
        <f>VLOOKUP(Y108,STARTOVKA,3,0)</f>
        <v>RECKENDORFER Lukas</v>
      </c>
      <c r="Z109" s="380"/>
      <c r="AA109" s="257"/>
      <c r="AB109" s="258"/>
      <c r="AC109" s="259"/>
      <c r="AD109" s="380" t="str">
        <f>VLOOKUP(AD108,STARTOVKA,3,0)</f>
        <v>WAIBEL Christian</v>
      </c>
      <c r="AE109" s="380"/>
      <c r="AF109" s="256"/>
      <c r="AG109" s="118"/>
      <c r="AH109" s="259"/>
      <c r="AI109" s="380" t="str">
        <f>VLOOKUP(AI108,STARTOVKA,3,0)</f>
        <v>WINTER Stefan</v>
      </c>
      <c r="AJ109" s="380"/>
      <c r="AK109" s="257"/>
      <c r="AL109" s="118"/>
      <c r="AM109" s="259"/>
      <c r="AN109" s="380"/>
      <c r="AO109" s="380"/>
      <c r="AP109" s="257"/>
      <c r="AQ109" s="258"/>
      <c r="AR109" s="259"/>
      <c r="AS109" s="380"/>
      <c r="AT109" s="380"/>
      <c r="AU109" s="257"/>
      <c r="AV109" s="258"/>
      <c r="AW109" s="259"/>
      <c r="AX109" s="380"/>
      <c r="AY109" s="380"/>
      <c r="AZ109" s="256"/>
    </row>
    <row r="110" spans="2:52" ht="18.75" customHeight="1" x14ac:dyDescent="0.3">
      <c r="B110" s="379"/>
      <c r="C110" s="252"/>
      <c r="D110" s="253"/>
      <c r="E110" s="260">
        <f ca="1">VLOOKUP(E108,INDIRECT($BB$1),8,0)</f>
        <v>7.8252314814814816E-2</v>
      </c>
      <c r="F110" s="261">
        <f ca="1">VLOOKUP(E108,INDIRECT($BB$1),9,0)</f>
        <v>1.157407407407357E-4</v>
      </c>
      <c r="G110" s="256"/>
      <c r="I110" s="253"/>
      <c r="J110" s="260">
        <f ca="1">VLOOKUP(J108,INDIRECT($BB$1),8,0)</f>
        <v>7.8252314814814816E-2</v>
      </c>
      <c r="K110" s="261">
        <f ca="1">VLOOKUP(J108,INDIRECT($BB$1),9,0)</f>
        <v>1.157407407407357E-4</v>
      </c>
      <c r="L110" s="256"/>
      <c r="N110" s="253"/>
      <c r="O110" s="260">
        <f ca="1">VLOOKUP(O108,INDIRECT($BB$1),8,0)</f>
        <v>7.8252314814814816E-2</v>
      </c>
      <c r="P110" s="261">
        <f ca="1">VLOOKUP(O108,INDIRECT($BB$1),9,0)</f>
        <v>1.157407407407357E-4</v>
      </c>
      <c r="Q110" s="256"/>
      <c r="T110" s="260" t="str">
        <f ca="1">VLOOKUP(T108,INDIRECT($BB$1),8,0)</f>
        <v>DNF</v>
      </c>
      <c r="U110" s="261" t="str">
        <f ca="1">VLOOKUP(T108,INDIRECT($BB$1),9,0)</f>
        <v>DNF</v>
      </c>
      <c r="V110" s="256"/>
      <c r="X110" s="253"/>
      <c r="Y110" s="260">
        <f ca="1">VLOOKUP(Y108,INDIRECT($BB$1),8,0)</f>
        <v>7.8252314814814816E-2</v>
      </c>
      <c r="Z110" s="261">
        <f ca="1">VLOOKUP(Y108,INDIRECT($BB$1),9,0)</f>
        <v>1.157407407407357E-4</v>
      </c>
      <c r="AA110" s="256"/>
      <c r="AC110" s="253"/>
      <c r="AD110" s="260">
        <f ca="1">VLOOKUP(AD108,INDIRECT($BB$1),8,0)</f>
        <v>7.856481481481481E-2</v>
      </c>
      <c r="AE110" s="261">
        <f ca="1">VLOOKUP(AD108,INDIRECT($BB$1),9,0)</f>
        <v>4.2824074074072904E-4</v>
      </c>
      <c r="AF110" s="256"/>
      <c r="AG110" s="118"/>
      <c r="AH110" s="253"/>
      <c r="AI110" s="260">
        <f ca="1">VLOOKUP(AI108,INDIRECT($BB$1),8,0)</f>
        <v>8.4537037037037036E-2</v>
      </c>
      <c r="AJ110" s="261">
        <f ca="1">VLOOKUP(AI108,INDIRECT($BB$1),9,0)</f>
        <v>6.400462962962955E-3</v>
      </c>
      <c r="AK110" s="256"/>
      <c r="AL110" s="118"/>
      <c r="AM110" s="253"/>
      <c r="AN110" s="260"/>
      <c r="AO110" s="261"/>
      <c r="AP110" s="256"/>
      <c r="AR110" s="253"/>
      <c r="AS110" s="260"/>
      <c r="AT110" s="261"/>
      <c r="AU110" s="256"/>
      <c r="AW110" s="253"/>
      <c r="AX110" s="260"/>
      <c r="AY110" s="261"/>
      <c r="AZ110" s="256"/>
    </row>
    <row r="111" spans="2:52" ht="3" customHeight="1" x14ac:dyDescent="0.3">
      <c r="B111" s="262"/>
      <c r="D111" s="263"/>
      <c r="E111" s="264"/>
      <c r="F111" s="264"/>
      <c r="G111" s="265"/>
      <c r="I111" s="263"/>
      <c r="J111" s="264"/>
      <c r="K111" s="264"/>
      <c r="L111" s="265"/>
      <c r="N111" s="263"/>
      <c r="O111" s="264"/>
      <c r="P111" s="264"/>
      <c r="Q111" s="265"/>
      <c r="T111" s="264"/>
      <c r="U111" s="264"/>
      <c r="V111" s="265"/>
      <c r="X111" s="263"/>
      <c r="Y111" s="264"/>
      <c r="Z111" s="264"/>
      <c r="AA111" s="265"/>
      <c r="AC111" s="263"/>
      <c r="AD111" s="264"/>
      <c r="AE111" s="264"/>
      <c r="AF111" s="265"/>
      <c r="AG111" s="264"/>
      <c r="AH111" s="263"/>
      <c r="AI111" s="264"/>
      <c r="AJ111" s="264"/>
      <c r="AK111" s="265"/>
      <c r="AL111" s="264"/>
      <c r="AM111" s="263"/>
      <c r="AN111" s="264"/>
      <c r="AO111" s="264"/>
      <c r="AP111" s="265"/>
      <c r="AR111" s="263"/>
      <c r="AS111" s="264"/>
      <c r="AT111" s="264"/>
      <c r="AU111" s="265"/>
      <c r="AW111" s="263"/>
      <c r="AX111" s="264"/>
      <c r="AY111" s="264"/>
      <c r="AZ111" s="265"/>
    </row>
    <row r="112" spans="2:52" ht="3" customHeight="1" x14ac:dyDescent="0.3"/>
    <row r="113" spans="2:52" ht="3" customHeight="1" x14ac:dyDescent="0.3">
      <c r="B113" s="248"/>
      <c r="D113" s="249"/>
      <c r="E113" s="250"/>
      <c r="F113" s="250"/>
      <c r="G113" s="251"/>
      <c r="I113" s="249"/>
      <c r="J113" s="250"/>
      <c r="K113" s="250"/>
      <c r="L113" s="251"/>
      <c r="N113" s="249"/>
      <c r="O113" s="250"/>
      <c r="P113" s="250"/>
      <c r="Q113" s="251"/>
      <c r="T113" s="250"/>
      <c r="U113" s="250"/>
      <c r="V113" s="251"/>
      <c r="X113" s="249"/>
      <c r="Y113" s="250"/>
      <c r="Z113" s="250"/>
      <c r="AA113" s="251"/>
      <c r="AC113" s="249"/>
      <c r="AD113" s="250"/>
      <c r="AE113" s="250"/>
      <c r="AF113" s="251"/>
      <c r="AG113" s="250"/>
      <c r="AH113" s="249"/>
      <c r="AI113" s="250"/>
      <c r="AJ113" s="250"/>
      <c r="AK113" s="251"/>
      <c r="AL113" s="250"/>
      <c r="AM113" s="249"/>
      <c r="AN113" s="250"/>
      <c r="AO113" s="250"/>
      <c r="AP113" s="251"/>
      <c r="AR113" s="249"/>
      <c r="AS113" s="250"/>
      <c r="AT113" s="250"/>
      <c r="AU113" s="251"/>
      <c r="AW113" s="249"/>
      <c r="AX113" s="250"/>
      <c r="AY113" s="250"/>
      <c r="AZ113" s="251"/>
    </row>
    <row r="114" spans="2:52" ht="18.75" customHeight="1" x14ac:dyDescent="0.3">
      <c r="B114" s="379" t="s">
        <v>632</v>
      </c>
      <c r="C114" s="252"/>
      <c r="D114" s="253"/>
      <c r="E114" s="254">
        <v>191</v>
      </c>
      <c r="F114" s="255">
        <f ca="1">VLOOKUP(E114,INDIRECT($BB$1),12,0)</f>
        <v>135</v>
      </c>
      <c r="G114" s="256"/>
      <c r="I114" s="253"/>
      <c r="J114" s="254">
        <v>192</v>
      </c>
      <c r="K114" s="255" t="str">
        <f ca="1">VLOOKUP(J114,INDIRECT($BB$1),12,0)</f>
        <v>DNF</v>
      </c>
      <c r="L114" s="256"/>
      <c r="N114" s="253"/>
      <c r="O114" s="254">
        <v>193</v>
      </c>
      <c r="P114" s="255">
        <f ca="1">VLOOKUP(O114,INDIRECT($BB$1),12,0)</f>
        <v>131</v>
      </c>
      <c r="Q114" s="256"/>
      <c r="T114" s="254">
        <v>194</v>
      </c>
      <c r="U114" s="255">
        <f ca="1">VLOOKUP(T114,INDIRECT($BB$1),12,0)</f>
        <v>132</v>
      </c>
      <c r="V114" s="256"/>
      <c r="X114" s="253"/>
      <c r="Y114" s="254">
        <v>195</v>
      </c>
      <c r="Z114" s="255">
        <f ca="1">VLOOKUP(Y114,INDIRECT($BB$1),12,0)</f>
        <v>134</v>
      </c>
      <c r="AA114" s="256"/>
      <c r="AC114" s="253"/>
      <c r="AD114" s="254">
        <v>196</v>
      </c>
      <c r="AE114" s="255">
        <f ca="1">VLOOKUP(AD114,INDIRECT($BB$1),12,0)</f>
        <v>136</v>
      </c>
      <c r="AF114" s="256"/>
      <c r="AG114" s="118"/>
      <c r="AH114" s="253"/>
      <c r="AI114" s="254">
        <v>197</v>
      </c>
      <c r="AJ114" s="255" t="str">
        <f ca="1">VLOOKUP(AI114,INDIRECT($BB$1),12,0)</f>
        <v>DNF</v>
      </c>
      <c r="AK114" s="256"/>
      <c r="AL114" s="118"/>
      <c r="AM114" s="253"/>
      <c r="AN114" s="254">
        <v>198</v>
      </c>
      <c r="AO114" s="255">
        <f ca="1">VLOOKUP(AN114,INDIRECT($BB$1),12,0)</f>
        <v>126</v>
      </c>
      <c r="AP114" s="256"/>
      <c r="AR114" s="253"/>
      <c r="AS114" s="254"/>
      <c r="AT114" s="255"/>
      <c r="AU114" s="256"/>
      <c r="AW114" s="253"/>
      <c r="AX114" s="254"/>
      <c r="AY114" s="255"/>
      <c r="AZ114" s="256"/>
    </row>
    <row r="115" spans="2:52" ht="12.15" customHeight="1" x14ac:dyDescent="0.3">
      <c r="B115" s="379"/>
      <c r="C115" s="252"/>
      <c r="D115" s="253"/>
      <c r="E115" s="380" t="str">
        <f>VLOOKUP(E114,STARTOVKA,3,0)</f>
        <v xml:space="preserve">HAUF Jan </v>
      </c>
      <c r="F115" s="380"/>
      <c r="G115" s="257"/>
      <c r="H115" s="258"/>
      <c r="I115" s="259"/>
      <c r="J115" s="380" t="str">
        <f>VLOOKUP(J114,STARTOVKA,3,0)</f>
        <v xml:space="preserve">MICHAL Daniel </v>
      </c>
      <c r="K115" s="380"/>
      <c r="L115" s="257"/>
      <c r="M115" s="258"/>
      <c r="N115" s="259"/>
      <c r="O115" s="380" t="str">
        <f>VLOOKUP(O114,STARTOVKA,3,0)</f>
        <v xml:space="preserve">ROTTER Michal </v>
      </c>
      <c r="P115" s="380"/>
      <c r="Q115" s="257"/>
      <c r="R115" s="258"/>
      <c r="S115" s="258"/>
      <c r="T115" s="380" t="str">
        <f>VLOOKUP(T114,STARTOVKA,3,0)</f>
        <v>ANDRLE David</v>
      </c>
      <c r="U115" s="380"/>
      <c r="V115" s="257"/>
      <c r="W115" s="258"/>
      <c r="X115" s="259"/>
      <c r="Y115" s="380" t="str">
        <f>VLOOKUP(Y114,STARTOVKA,3,0)</f>
        <v>DUS Albert</v>
      </c>
      <c r="Z115" s="380"/>
      <c r="AA115" s="257"/>
      <c r="AB115" s="258"/>
      <c r="AC115" s="259"/>
      <c r="AD115" s="380" t="str">
        <f>VLOOKUP(AD114,STARTOVKA,3,0)</f>
        <v xml:space="preserve">HOLFEUER Dan </v>
      </c>
      <c r="AE115" s="380"/>
      <c r="AF115" s="256"/>
      <c r="AG115" s="118"/>
      <c r="AH115" s="259"/>
      <c r="AI115" s="380" t="str">
        <f>VLOOKUP(AI114,STARTOVKA,3,0)</f>
        <v xml:space="preserve">PARMA Dominik </v>
      </c>
      <c r="AJ115" s="380"/>
      <c r="AK115" s="257"/>
      <c r="AL115" s="118"/>
      <c r="AM115" s="259"/>
      <c r="AN115" s="380" t="str">
        <f>VLOOKUP(AN114,STARTOVKA,3,0)</f>
        <v>VRANKO Daniel</v>
      </c>
      <c r="AO115" s="380"/>
      <c r="AP115" s="257"/>
      <c r="AQ115" s="258"/>
      <c r="AR115" s="259"/>
      <c r="AS115" s="380"/>
      <c r="AT115" s="380"/>
      <c r="AU115" s="257"/>
      <c r="AV115" s="258"/>
      <c r="AW115" s="259"/>
      <c r="AX115" s="380"/>
      <c r="AY115" s="380"/>
      <c r="AZ115" s="256"/>
    </row>
    <row r="116" spans="2:52" ht="18.75" customHeight="1" x14ac:dyDescent="0.3">
      <c r="B116" s="379"/>
      <c r="C116" s="252"/>
      <c r="D116" s="253"/>
      <c r="E116" s="260">
        <f ca="1">VLOOKUP(E114,INDIRECT($BB$1),8,0)</f>
        <v>0.10581018518518519</v>
      </c>
      <c r="F116" s="261">
        <f ca="1">VLOOKUP(E114,INDIRECT($BB$1),9,0)</f>
        <v>2.7673611111111107E-2</v>
      </c>
      <c r="G116" s="256"/>
      <c r="I116" s="253"/>
      <c r="J116" s="260" t="str">
        <f ca="1">VLOOKUP(J114,INDIRECT($BB$1),8,0)</f>
        <v>DNF</v>
      </c>
      <c r="K116" s="261" t="str">
        <f ca="1">VLOOKUP(J114,INDIRECT($BB$1),9,0)</f>
        <v>DNF</v>
      </c>
      <c r="L116" s="256"/>
      <c r="N116" s="253"/>
      <c r="O116" s="260">
        <f ca="1">VLOOKUP(O114,INDIRECT($BB$1),8,0)</f>
        <v>0.10581018518518519</v>
      </c>
      <c r="P116" s="261">
        <f ca="1">VLOOKUP(O114,INDIRECT($BB$1),9,0)</f>
        <v>2.7673611111111107E-2</v>
      </c>
      <c r="Q116" s="256"/>
      <c r="T116" s="260">
        <f ca="1">VLOOKUP(T114,INDIRECT($BB$1),8,0)</f>
        <v>0.10581018518518519</v>
      </c>
      <c r="U116" s="261">
        <f ca="1">VLOOKUP(T114,INDIRECT($BB$1),9,0)</f>
        <v>2.7673611111111107E-2</v>
      </c>
      <c r="V116" s="256"/>
      <c r="X116" s="253"/>
      <c r="Y116" s="260">
        <f ca="1">VLOOKUP(Y114,INDIRECT($BB$1),8,0)</f>
        <v>0.10581018518518519</v>
      </c>
      <c r="Z116" s="261">
        <f ca="1">VLOOKUP(Y114,INDIRECT($BB$1),9,0)</f>
        <v>2.7673611111111107E-2</v>
      </c>
      <c r="AA116" s="256"/>
      <c r="AC116" s="253"/>
      <c r="AD116" s="260">
        <f ca="1">VLOOKUP(AD114,INDIRECT($BB$1),8,0)</f>
        <v>0.10581018518518519</v>
      </c>
      <c r="AE116" s="261">
        <f ca="1">VLOOKUP(AD114,INDIRECT($BB$1),9,0)</f>
        <v>2.7673611111111107E-2</v>
      </c>
      <c r="AF116" s="256"/>
      <c r="AG116" s="118"/>
      <c r="AH116" s="253"/>
      <c r="AI116" s="260" t="str">
        <f ca="1">VLOOKUP(AI114,INDIRECT($BB$1),8,0)</f>
        <v>DNF</v>
      </c>
      <c r="AJ116" s="261" t="str">
        <f ca="1">VLOOKUP(AI114,INDIRECT($BB$1),9,0)</f>
        <v>DNF</v>
      </c>
      <c r="AK116" s="256"/>
      <c r="AL116" s="118"/>
      <c r="AM116" s="253"/>
      <c r="AN116" s="260">
        <f ca="1">VLOOKUP(AN114,INDIRECT($BB$1),8,0)</f>
        <v>9.1921296296296293E-2</v>
      </c>
      <c r="AO116" s="261">
        <f ca="1">VLOOKUP(AN114,INDIRECT($BB$1),9,0)</f>
        <v>1.3784722222222212E-2</v>
      </c>
      <c r="AP116" s="256"/>
      <c r="AR116" s="253"/>
      <c r="AS116" s="260"/>
      <c r="AT116" s="261"/>
      <c r="AU116" s="256"/>
      <c r="AW116" s="253"/>
      <c r="AX116" s="260"/>
      <c r="AY116" s="261"/>
      <c r="AZ116" s="256"/>
    </row>
    <row r="117" spans="2:52" ht="3" customHeight="1" x14ac:dyDescent="0.3">
      <c r="B117" s="262"/>
      <c r="D117" s="263"/>
      <c r="E117" s="264"/>
      <c r="F117" s="264"/>
      <c r="G117" s="265"/>
      <c r="I117" s="263"/>
      <c r="J117" s="264"/>
      <c r="K117" s="264"/>
      <c r="L117" s="265"/>
      <c r="N117" s="263"/>
      <c r="O117" s="264"/>
      <c r="P117" s="264"/>
      <c r="Q117" s="265"/>
      <c r="T117" s="264"/>
      <c r="U117" s="264"/>
      <c r="V117" s="265"/>
      <c r="X117" s="263"/>
      <c r="Y117" s="264"/>
      <c r="Z117" s="264"/>
      <c r="AA117" s="265"/>
      <c r="AC117" s="263"/>
      <c r="AD117" s="264"/>
      <c r="AE117" s="264"/>
      <c r="AF117" s="265"/>
      <c r="AG117" s="264"/>
      <c r="AH117" s="263"/>
      <c r="AI117" s="264"/>
      <c r="AJ117" s="264"/>
      <c r="AK117" s="265"/>
      <c r="AL117" s="264"/>
      <c r="AM117" s="263"/>
      <c r="AN117" s="264"/>
      <c r="AO117" s="264"/>
      <c r="AP117" s="265"/>
      <c r="AR117" s="263"/>
      <c r="AS117" s="264"/>
      <c r="AT117" s="264"/>
      <c r="AU117" s="265"/>
      <c r="AW117" s="263"/>
      <c r="AX117" s="264"/>
      <c r="AY117" s="264"/>
      <c r="AZ117" s="265"/>
    </row>
    <row r="118" spans="2:52" ht="3" customHeight="1" x14ac:dyDescent="0.3"/>
    <row r="119" spans="2:52" ht="3" customHeight="1" x14ac:dyDescent="0.3">
      <c r="B119" s="248"/>
      <c r="D119" s="249"/>
      <c r="E119" s="250"/>
      <c r="F119" s="250"/>
      <c r="G119" s="251"/>
      <c r="I119" s="249"/>
      <c r="J119" s="250"/>
      <c r="K119" s="250"/>
      <c r="L119" s="251"/>
      <c r="N119" s="249"/>
      <c r="O119" s="250"/>
      <c r="P119" s="250"/>
      <c r="Q119" s="251"/>
      <c r="T119" s="250"/>
      <c r="U119" s="250"/>
      <c r="V119" s="251"/>
      <c r="X119" s="249"/>
      <c r="Y119" s="250"/>
      <c r="Z119" s="250"/>
      <c r="AA119" s="251"/>
      <c r="AC119" s="249"/>
      <c r="AD119" s="250"/>
      <c r="AE119" s="250"/>
      <c r="AF119" s="251"/>
      <c r="AG119" s="250"/>
      <c r="AH119" s="249"/>
      <c r="AI119" s="250"/>
      <c r="AJ119" s="250"/>
      <c r="AK119" s="251"/>
      <c r="AL119" s="250"/>
      <c r="AM119" s="249"/>
      <c r="AN119" s="250"/>
      <c r="AO119" s="250"/>
      <c r="AP119" s="251"/>
      <c r="AR119" s="249"/>
      <c r="AS119" s="250"/>
      <c r="AT119" s="250"/>
      <c r="AU119" s="251"/>
      <c r="AW119" s="249"/>
      <c r="AX119" s="250"/>
      <c r="AY119" s="250"/>
      <c r="AZ119" s="251"/>
    </row>
  </sheetData>
  <mergeCells count="203">
    <mergeCell ref="A1:AZ1"/>
    <mergeCell ref="AI13:AJ13"/>
    <mergeCell ref="AI19:AJ19"/>
    <mergeCell ref="AI25:AJ25"/>
    <mergeCell ref="AI31:AJ31"/>
    <mergeCell ref="AI37:AJ37"/>
    <mergeCell ref="AI43:AJ43"/>
    <mergeCell ref="AI49:AJ49"/>
    <mergeCell ref="AI55:AJ55"/>
    <mergeCell ref="T25:U25"/>
    <mergeCell ref="Y25:Z25"/>
    <mergeCell ref="AD25:AE25"/>
    <mergeCell ref="T31:U31"/>
    <mergeCell ref="Y31:Z31"/>
    <mergeCell ref="AD31:AE31"/>
    <mergeCell ref="AD79:AE79"/>
    <mergeCell ref="T85:U85"/>
    <mergeCell ref="Y85:Z85"/>
    <mergeCell ref="AD85:AE85"/>
    <mergeCell ref="T49:U49"/>
    <mergeCell ref="Y49:Z49"/>
    <mergeCell ref="AD49:AE49"/>
    <mergeCell ref="T55:U55"/>
    <mergeCell ref="Y55:Z55"/>
    <mergeCell ref="AD55:AE55"/>
    <mergeCell ref="T61:U61"/>
    <mergeCell ref="Y61:Z61"/>
    <mergeCell ref="AD61:AE61"/>
    <mergeCell ref="T79:U79"/>
    <mergeCell ref="Y79:Z79"/>
    <mergeCell ref="AX109:AY109"/>
    <mergeCell ref="B114:B116"/>
    <mergeCell ref="E115:F115"/>
    <mergeCell ref="J115:K115"/>
    <mergeCell ref="O115:P115"/>
    <mergeCell ref="AN115:AO115"/>
    <mergeCell ref="AS115:AT115"/>
    <mergeCell ref="AX115:AY115"/>
    <mergeCell ref="B108:B110"/>
    <mergeCell ref="E109:F109"/>
    <mergeCell ref="J109:K109"/>
    <mergeCell ref="O109:P109"/>
    <mergeCell ref="AN109:AO109"/>
    <mergeCell ref="AS109:AT109"/>
    <mergeCell ref="AD109:AE109"/>
    <mergeCell ref="T109:U109"/>
    <mergeCell ref="Y109:Z109"/>
    <mergeCell ref="AI115:AJ115"/>
    <mergeCell ref="AI109:AJ109"/>
    <mergeCell ref="T115:U115"/>
    <mergeCell ref="Y115:Z115"/>
    <mergeCell ref="AD115:AE115"/>
    <mergeCell ref="AX103:AY103"/>
    <mergeCell ref="B96:B98"/>
    <mergeCell ref="E97:F97"/>
    <mergeCell ref="J97:K97"/>
    <mergeCell ref="O97:P97"/>
    <mergeCell ref="AN97:AO97"/>
    <mergeCell ref="AS97:AT97"/>
    <mergeCell ref="AD97:AE97"/>
    <mergeCell ref="AD103:AE103"/>
    <mergeCell ref="AX97:AY97"/>
    <mergeCell ref="B102:B104"/>
    <mergeCell ref="E103:F103"/>
    <mergeCell ref="J103:K103"/>
    <mergeCell ref="O103:P103"/>
    <mergeCell ref="AN103:AO103"/>
    <mergeCell ref="AS103:AT103"/>
    <mergeCell ref="T97:U97"/>
    <mergeCell ref="Y97:Z97"/>
    <mergeCell ref="T103:U103"/>
    <mergeCell ref="Y103:Z103"/>
    <mergeCell ref="AI97:AJ97"/>
    <mergeCell ref="AI103:AJ103"/>
    <mergeCell ref="AX85:AY85"/>
    <mergeCell ref="B90:B92"/>
    <mergeCell ref="E91:F91"/>
    <mergeCell ref="J91:K91"/>
    <mergeCell ref="O91:P91"/>
    <mergeCell ref="AN91:AO91"/>
    <mergeCell ref="AS91:AT91"/>
    <mergeCell ref="AX91:AY91"/>
    <mergeCell ref="B84:B86"/>
    <mergeCell ref="E85:F85"/>
    <mergeCell ref="J85:K85"/>
    <mergeCell ref="O85:P85"/>
    <mergeCell ref="AN85:AO85"/>
    <mergeCell ref="AS85:AT85"/>
    <mergeCell ref="T91:U91"/>
    <mergeCell ref="Y91:Z91"/>
    <mergeCell ref="AD91:AE91"/>
    <mergeCell ref="AI85:AJ85"/>
    <mergeCell ref="AI91:AJ91"/>
    <mergeCell ref="AX73:AY73"/>
    <mergeCell ref="B78:B80"/>
    <mergeCell ref="E79:F79"/>
    <mergeCell ref="J79:K79"/>
    <mergeCell ref="O79:P79"/>
    <mergeCell ref="AN79:AO79"/>
    <mergeCell ref="AS79:AT79"/>
    <mergeCell ref="AX79:AY79"/>
    <mergeCell ref="B72:B74"/>
    <mergeCell ref="E73:F73"/>
    <mergeCell ref="J73:K73"/>
    <mergeCell ref="O73:P73"/>
    <mergeCell ref="AN73:AO73"/>
    <mergeCell ref="AS73:AT73"/>
    <mergeCell ref="AD73:AE73"/>
    <mergeCell ref="T73:U73"/>
    <mergeCell ref="Y73:Z73"/>
    <mergeCell ref="AI73:AJ73"/>
    <mergeCell ref="AI79:AJ79"/>
    <mergeCell ref="AX61:AY61"/>
    <mergeCell ref="B66:B68"/>
    <mergeCell ref="E67:F67"/>
    <mergeCell ref="J67:K67"/>
    <mergeCell ref="O67:P67"/>
    <mergeCell ref="AN67:AO67"/>
    <mergeCell ref="AS67:AT67"/>
    <mergeCell ref="AX67:AY67"/>
    <mergeCell ref="B60:B62"/>
    <mergeCell ref="E61:F61"/>
    <mergeCell ref="J61:K61"/>
    <mergeCell ref="O61:P61"/>
    <mergeCell ref="AN61:AO61"/>
    <mergeCell ref="AS61:AT61"/>
    <mergeCell ref="AD67:AE67"/>
    <mergeCell ref="T67:U67"/>
    <mergeCell ref="Y67:Z67"/>
    <mergeCell ref="AI61:AJ61"/>
    <mergeCell ref="AI67:AJ67"/>
    <mergeCell ref="AX49:AY49"/>
    <mergeCell ref="B54:B56"/>
    <mergeCell ref="E55:F55"/>
    <mergeCell ref="J55:K55"/>
    <mergeCell ref="O55:P55"/>
    <mergeCell ref="AN55:AO55"/>
    <mergeCell ref="AS55:AT55"/>
    <mergeCell ref="AX55:AY55"/>
    <mergeCell ref="B48:B50"/>
    <mergeCell ref="E49:F49"/>
    <mergeCell ref="J49:K49"/>
    <mergeCell ref="O49:P49"/>
    <mergeCell ref="AN49:AO49"/>
    <mergeCell ref="AS49:AT49"/>
    <mergeCell ref="AX37:AY37"/>
    <mergeCell ref="B42:B44"/>
    <mergeCell ref="E43:F43"/>
    <mergeCell ref="J43:K43"/>
    <mergeCell ref="O43:P43"/>
    <mergeCell ref="AN43:AO43"/>
    <mergeCell ref="AS43:AT43"/>
    <mergeCell ref="AX43:AY43"/>
    <mergeCell ref="B36:B38"/>
    <mergeCell ref="E37:F37"/>
    <mergeCell ref="J37:K37"/>
    <mergeCell ref="O37:P37"/>
    <mergeCell ref="AN37:AO37"/>
    <mergeCell ref="AS37:AT37"/>
    <mergeCell ref="AD37:AE37"/>
    <mergeCell ref="T43:U43"/>
    <mergeCell ref="Y43:Z43"/>
    <mergeCell ref="AD43:AE43"/>
    <mergeCell ref="T37:U37"/>
    <mergeCell ref="Y37:Z37"/>
    <mergeCell ref="B18:B20"/>
    <mergeCell ref="E19:F19"/>
    <mergeCell ref="J19:K19"/>
    <mergeCell ref="O19:P19"/>
    <mergeCell ref="AN19:AO19"/>
    <mergeCell ref="AS19:AT19"/>
    <mergeCell ref="AX19:AY19"/>
    <mergeCell ref="AX25:AY25"/>
    <mergeCell ref="B30:B32"/>
    <mergeCell ref="E31:F31"/>
    <mergeCell ref="J31:K31"/>
    <mergeCell ref="O31:P31"/>
    <mergeCell ref="AN31:AO31"/>
    <mergeCell ref="AS31:AT31"/>
    <mergeCell ref="AX31:AY31"/>
    <mergeCell ref="B24:B26"/>
    <mergeCell ref="E25:F25"/>
    <mergeCell ref="J25:K25"/>
    <mergeCell ref="O25:P25"/>
    <mergeCell ref="AN25:AO25"/>
    <mergeCell ref="AS25:AT25"/>
    <mergeCell ref="T19:U19"/>
    <mergeCell ref="Y19:Z19"/>
    <mergeCell ref="AD19:AE19"/>
    <mergeCell ref="B2:AZ2"/>
    <mergeCell ref="F3:AS3"/>
    <mergeCell ref="B5:AZ5"/>
    <mergeCell ref="E8:F8"/>
    <mergeCell ref="B12:B14"/>
    <mergeCell ref="E13:F13"/>
    <mergeCell ref="J13:K13"/>
    <mergeCell ref="O13:P13"/>
    <mergeCell ref="AN13:AO13"/>
    <mergeCell ref="AS13:AT13"/>
    <mergeCell ref="AX13:AY13"/>
    <mergeCell ref="T13:U13"/>
    <mergeCell ref="Y13:Z13"/>
    <mergeCell ref="AD13:AE13"/>
  </mergeCells>
  <printOptions horizontalCentered="1" verticalCentered="1"/>
  <pageMargins left="0.78740157480314965" right="0.31496062992125984" top="0.31496062992125984" bottom="0.31496062992125984" header="0.23622047244094491" footer="0.19685039370078741"/>
  <pageSetup paperSize="9" scale="4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3"/>
  <sheetViews>
    <sheetView zoomScale="55" zoomScaleNormal="55" workbookViewId="0">
      <selection activeCell="R12" sqref="R12:R13"/>
    </sheetView>
  </sheetViews>
  <sheetFormatPr defaultRowHeight="13.8" x14ac:dyDescent="0.3"/>
  <cols>
    <col min="1" max="1" width="22.6640625" style="293" customWidth="1"/>
    <col min="2" max="3" width="9.88671875" style="293" customWidth="1"/>
    <col min="4" max="4" width="10" style="293" customWidth="1"/>
    <col min="5" max="6" width="9.88671875" style="293" customWidth="1"/>
    <col min="7" max="7" width="10" style="293" customWidth="1"/>
    <col min="8" max="8" width="9.88671875" style="293" customWidth="1"/>
    <col min="9" max="9" width="8.44140625" style="293" customWidth="1"/>
    <col min="10" max="10" width="9.88671875" style="293" customWidth="1"/>
    <col min="11" max="11" width="11" style="293" customWidth="1"/>
    <col min="12" max="12" width="4.44140625" style="293" customWidth="1"/>
    <col min="13" max="13" width="7" style="292" customWidth="1"/>
    <col min="14" max="14" width="12.6640625" style="292" customWidth="1"/>
    <col min="15" max="15" width="19" style="292" bestFit="1" customWidth="1"/>
    <col min="16" max="16" width="28.6640625" style="292" customWidth="1"/>
    <col min="17" max="17" width="13.109375" style="292" customWidth="1"/>
    <col min="18" max="18" width="12.5546875" style="292" customWidth="1"/>
    <col min="19" max="19" width="26" style="292" customWidth="1"/>
    <col min="20" max="25" width="9.109375" style="292" customWidth="1"/>
    <col min="26" max="256" width="8.88671875" style="292"/>
    <col min="257" max="257" width="22.6640625" style="292" customWidth="1"/>
    <col min="258" max="259" width="9.88671875" style="292" customWidth="1"/>
    <col min="260" max="260" width="10" style="292" customWidth="1"/>
    <col min="261" max="262" width="9.88671875" style="292" customWidth="1"/>
    <col min="263" max="263" width="10" style="292" customWidth="1"/>
    <col min="264" max="264" width="9.88671875" style="292" customWidth="1"/>
    <col min="265" max="265" width="8.44140625" style="292" customWidth="1"/>
    <col min="266" max="266" width="9.88671875" style="292" customWidth="1"/>
    <col min="267" max="267" width="11" style="292" customWidth="1"/>
    <col min="268" max="268" width="4.44140625" style="292" customWidth="1"/>
    <col min="269" max="269" width="7" style="292" customWidth="1"/>
    <col min="270" max="270" width="12.6640625" style="292" customWidth="1"/>
    <col min="271" max="271" width="19" style="292" bestFit="1" customWidth="1"/>
    <col min="272" max="272" width="28.6640625" style="292" customWidth="1"/>
    <col min="273" max="273" width="13.109375" style="292" customWidth="1"/>
    <col min="274" max="274" width="12.5546875" style="292" customWidth="1"/>
    <col min="275" max="275" width="26" style="292" customWidth="1"/>
    <col min="276" max="281" width="9.109375" style="292" customWidth="1"/>
    <col min="282" max="512" width="8.88671875" style="292"/>
    <col min="513" max="513" width="22.6640625" style="292" customWidth="1"/>
    <col min="514" max="515" width="9.88671875" style="292" customWidth="1"/>
    <col min="516" max="516" width="10" style="292" customWidth="1"/>
    <col min="517" max="518" width="9.88671875" style="292" customWidth="1"/>
    <col min="519" max="519" width="10" style="292" customWidth="1"/>
    <col min="520" max="520" width="9.88671875" style="292" customWidth="1"/>
    <col min="521" max="521" width="8.44140625" style="292" customWidth="1"/>
    <col min="522" max="522" width="9.88671875" style="292" customWidth="1"/>
    <col min="523" max="523" width="11" style="292" customWidth="1"/>
    <col min="524" max="524" width="4.44140625" style="292" customWidth="1"/>
    <col min="525" max="525" width="7" style="292" customWidth="1"/>
    <col min="526" max="526" width="12.6640625" style="292" customWidth="1"/>
    <col min="527" max="527" width="19" style="292" bestFit="1" customWidth="1"/>
    <col min="528" max="528" width="28.6640625" style="292" customWidth="1"/>
    <col min="529" max="529" width="13.109375" style="292" customWidth="1"/>
    <col min="530" max="530" width="12.5546875" style="292" customWidth="1"/>
    <col min="531" max="531" width="26" style="292" customWidth="1"/>
    <col min="532" max="537" width="9.109375" style="292" customWidth="1"/>
    <col min="538" max="768" width="8.88671875" style="292"/>
    <col min="769" max="769" width="22.6640625" style="292" customWidth="1"/>
    <col min="770" max="771" width="9.88671875" style="292" customWidth="1"/>
    <col min="772" max="772" width="10" style="292" customWidth="1"/>
    <col min="773" max="774" width="9.88671875" style="292" customWidth="1"/>
    <col min="775" max="775" width="10" style="292" customWidth="1"/>
    <col min="776" max="776" width="9.88671875" style="292" customWidth="1"/>
    <col min="777" max="777" width="8.44140625" style="292" customWidth="1"/>
    <col min="778" max="778" width="9.88671875" style="292" customWidth="1"/>
    <col min="779" max="779" width="11" style="292" customWidth="1"/>
    <col min="780" max="780" width="4.44140625" style="292" customWidth="1"/>
    <col min="781" max="781" width="7" style="292" customWidth="1"/>
    <col min="782" max="782" width="12.6640625" style="292" customWidth="1"/>
    <col min="783" max="783" width="19" style="292" bestFit="1" customWidth="1"/>
    <col min="784" max="784" width="28.6640625" style="292" customWidth="1"/>
    <col min="785" max="785" width="13.109375" style="292" customWidth="1"/>
    <col min="786" max="786" width="12.5546875" style="292" customWidth="1"/>
    <col min="787" max="787" width="26" style="292" customWidth="1"/>
    <col min="788" max="793" width="9.109375" style="292" customWidth="1"/>
    <col min="794" max="1024" width="8.88671875" style="292"/>
    <col min="1025" max="1025" width="22.6640625" style="292" customWidth="1"/>
    <col min="1026" max="1027" width="9.88671875" style="292" customWidth="1"/>
    <col min="1028" max="1028" width="10" style="292" customWidth="1"/>
    <col min="1029" max="1030" width="9.88671875" style="292" customWidth="1"/>
    <col min="1031" max="1031" width="10" style="292" customWidth="1"/>
    <col min="1032" max="1032" width="9.88671875" style="292" customWidth="1"/>
    <col min="1033" max="1033" width="8.44140625" style="292" customWidth="1"/>
    <col min="1034" max="1034" width="9.88671875" style="292" customWidth="1"/>
    <col min="1035" max="1035" width="11" style="292" customWidth="1"/>
    <col min="1036" max="1036" width="4.44140625" style="292" customWidth="1"/>
    <col min="1037" max="1037" width="7" style="292" customWidth="1"/>
    <col min="1038" max="1038" width="12.6640625" style="292" customWidth="1"/>
    <col min="1039" max="1039" width="19" style="292" bestFit="1" customWidth="1"/>
    <col min="1040" max="1040" width="28.6640625" style="292" customWidth="1"/>
    <col min="1041" max="1041" width="13.109375" style="292" customWidth="1"/>
    <col min="1042" max="1042" width="12.5546875" style="292" customWidth="1"/>
    <col min="1043" max="1043" width="26" style="292" customWidth="1"/>
    <col min="1044" max="1049" width="9.109375" style="292" customWidth="1"/>
    <col min="1050" max="1280" width="8.88671875" style="292"/>
    <col min="1281" max="1281" width="22.6640625" style="292" customWidth="1"/>
    <col min="1282" max="1283" width="9.88671875" style="292" customWidth="1"/>
    <col min="1284" max="1284" width="10" style="292" customWidth="1"/>
    <col min="1285" max="1286" width="9.88671875" style="292" customWidth="1"/>
    <col min="1287" max="1287" width="10" style="292" customWidth="1"/>
    <col min="1288" max="1288" width="9.88671875" style="292" customWidth="1"/>
    <col min="1289" max="1289" width="8.44140625" style="292" customWidth="1"/>
    <col min="1290" max="1290" width="9.88671875" style="292" customWidth="1"/>
    <col min="1291" max="1291" width="11" style="292" customWidth="1"/>
    <col min="1292" max="1292" width="4.44140625" style="292" customWidth="1"/>
    <col min="1293" max="1293" width="7" style="292" customWidth="1"/>
    <col min="1294" max="1294" width="12.6640625" style="292" customWidth="1"/>
    <col min="1295" max="1295" width="19" style="292" bestFit="1" customWidth="1"/>
    <col min="1296" max="1296" width="28.6640625" style="292" customWidth="1"/>
    <col min="1297" max="1297" width="13.109375" style="292" customWidth="1"/>
    <col min="1298" max="1298" width="12.5546875" style="292" customWidth="1"/>
    <col min="1299" max="1299" width="26" style="292" customWidth="1"/>
    <col min="1300" max="1305" width="9.109375" style="292" customWidth="1"/>
    <col min="1306" max="1536" width="8.88671875" style="292"/>
    <col min="1537" max="1537" width="22.6640625" style="292" customWidth="1"/>
    <col min="1538" max="1539" width="9.88671875" style="292" customWidth="1"/>
    <col min="1540" max="1540" width="10" style="292" customWidth="1"/>
    <col min="1541" max="1542" width="9.88671875" style="292" customWidth="1"/>
    <col min="1543" max="1543" width="10" style="292" customWidth="1"/>
    <col min="1544" max="1544" width="9.88671875" style="292" customWidth="1"/>
    <col min="1545" max="1545" width="8.44140625" style="292" customWidth="1"/>
    <col min="1546" max="1546" width="9.88671875" style="292" customWidth="1"/>
    <col min="1547" max="1547" width="11" style="292" customWidth="1"/>
    <col min="1548" max="1548" width="4.44140625" style="292" customWidth="1"/>
    <col min="1549" max="1549" width="7" style="292" customWidth="1"/>
    <col min="1550" max="1550" width="12.6640625" style="292" customWidth="1"/>
    <col min="1551" max="1551" width="19" style="292" bestFit="1" customWidth="1"/>
    <col min="1552" max="1552" width="28.6640625" style="292" customWidth="1"/>
    <col min="1553" max="1553" width="13.109375" style="292" customWidth="1"/>
    <col min="1554" max="1554" width="12.5546875" style="292" customWidth="1"/>
    <col min="1555" max="1555" width="26" style="292" customWidth="1"/>
    <col min="1556" max="1561" width="9.109375" style="292" customWidth="1"/>
    <col min="1562" max="1792" width="8.88671875" style="292"/>
    <col min="1793" max="1793" width="22.6640625" style="292" customWidth="1"/>
    <col min="1794" max="1795" width="9.88671875" style="292" customWidth="1"/>
    <col min="1796" max="1796" width="10" style="292" customWidth="1"/>
    <col min="1797" max="1798" width="9.88671875" style="292" customWidth="1"/>
    <col min="1799" max="1799" width="10" style="292" customWidth="1"/>
    <col min="1800" max="1800" width="9.88671875" style="292" customWidth="1"/>
    <col min="1801" max="1801" width="8.44140625" style="292" customWidth="1"/>
    <col min="1802" max="1802" width="9.88671875" style="292" customWidth="1"/>
    <col min="1803" max="1803" width="11" style="292" customWidth="1"/>
    <col min="1804" max="1804" width="4.44140625" style="292" customWidth="1"/>
    <col min="1805" max="1805" width="7" style="292" customWidth="1"/>
    <col min="1806" max="1806" width="12.6640625" style="292" customWidth="1"/>
    <col min="1807" max="1807" width="19" style="292" bestFit="1" customWidth="1"/>
    <col min="1808" max="1808" width="28.6640625" style="292" customWidth="1"/>
    <col min="1809" max="1809" width="13.109375" style="292" customWidth="1"/>
    <col min="1810" max="1810" width="12.5546875" style="292" customWidth="1"/>
    <col min="1811" max="1811" width="26" style="292" customWidth="1"/>
    <col min="1812" max="1817" width="9.109375" style="292" customWidth="1"/>
    <col min="1818" max="2048" width="8.88671875" style="292"/>
    <col min="2049" max="2049" width="22.6640625" style="292" customWidth="1"/>
    <col min="2050" max="2051" width="9.88671875" style="292" customWidth="1"/>
    <col min="2052" max="2052" width="10" style="292" customWidth="1"/>
    <col min="2053" max="2054" width="9.88671875" style="292" customWidth="1"/>
    <col min="2055" max="2055" width="10" style="292" customWidth="1"/>
    <col min="2056" max="2056" width="9.88671875" style="292" customWidth="1"/>
    <col min="2057" max="2057" width="8.44140625" style="292" customWidth="1"/>
    <col min="2058" max="2058" width="9.88671875" style="292" customWidth="1"/>
    <col min="2059" max="2059" width="11" style="292" customWidth="1"/>
    <col min="2060" max="2060" width="4.44140625" style="292" customWidth="1"/>
    <col min="2061" max="2061" width="7" style="292" customWidth="1"/>
    <col min="2062" max="2062" width="12.6640625" style="292" customWidth="1"/>
    <col min="2063" max="2063" width="19" style="292" bestFit="1" customWidth="1"/>
    <col min="2064" max="2064" width="28.6640625" style="292" customWidth="1"/>
    <col min="2065" max="2065" width="13.109375" style="292" customWidth="1"/>
    <col min="2066" max="2066" width="12.5546875" style="292" customWidth="1"/>
    <col min="2067" max="2067" width="26" style="292" customWidth="1"/>
    <col min="2068" max="2073" width="9.109375" style="292" customWidth="1"/>
    <col min="2074" max="2304" width="8.88671875" style="292"/>
    <col min="2305" max="2305" width="22.6640625" style="292" customWidth="1"/>
    <col min="2306" max="2307" width="9.88671875" style="292" customWidth="1"/>
    <col min="2308" max="2308" width="10" style="292" customWidth="1"/>
    <col min="2309" max="2310" width="9.88671875" style="292" customWidth="1"/>
    <col min="2311" max="2311" width="10" style="292" customWidth="1"/>
    <col min="2312" max="2312" width="9.88671875" style="292" customWidth="1"/>
    <col min="2313" max="2313" width="8.44140625" style="292" customWidth="1"/>
    <col min="2314" max="2314" width="9.88671875" style="292" customWidth="1"/>
    <col min="2315" max="2315" width="11" style="292" customWidth="1"/>
    <col min="2316" max="2316" width="4.44140625" style="292" customWidth="1"/>
    <col min="2317" max="2317" width="7" style="292" customWidth="1"/>
    <col min="2318" max="2318" width="12.6640625" style="292" customWidth="1"/>
    <col min="2319" max="2319" width="19" style="292" bestFit="1" customWidth="1"/>
    <col min="2320" max="2320" width="28.6640625" style="292" customWidth="1"/>
    <col min="2321" max="2321" width="13.109375" style="292" customWidth="1"/>
    <col min="2322" max="2322" width="12.5546875" style="292" customWidth="1"/>
    <col min="2323" max="2323" width="26" style="292" customWidth="1"/>
    <col min="2324" max="2329" width="9.109375" style="292" customWidth="1"/>
    <col min="2330" max="2560" width="8.88671875" style="292"/>
    <col min="2561" max="2561" width="22.6640625" style="292" customWidth="1"/>
    <col min="2562" max="2563" width="9.88671875" style="292" customWidth="1"/>
    <col min="2564" max="2564" width="10" style="292" customWidth="1"/>
    <col min="2565" max="2566" width="9.88671875" style="292" customWidth="1"/>
    <col min="2567" max="2567" width="10" style="292" customWidth="1"/>
    <col min="2568" max="2568" width="9.88671875" style="292" customWidth="1"/>
    <col min="2569" max="2569" width="8.44140625" style="292" customWidth="1"/>
    <col min="2570" max="2570" width="9.88671875" style="292" customWidth="1"/>
    <col min="2571" max="2571" width="11" style="292" customWidth="1"/>
    <col min="2572" max="2572" width="4.44140625" style="292" customWidth="1"/>
    <col min="2573" max="2573" width="7" style="292" customWidth="1"/>
    <col min="2574" max="2574" width="12.6640625" style="292" customWidth="1"/>
    <col min="2575" max="2575" width="19" style="292" bestFit="1" customWidth="1"/>
    <col min="2576" max="2576" width="28.6640625" style="292" customWidth="1"/>
    <col min="2577" max="2577" width="13.109375" style="292" customWidth="1"/>
    <col min="2578" max="2578" width="12.5546875" style="292" customWidth="1"/>
    <col min="2579" max="2579" width="26" style="292" customWidth="1"/>
    <col min="2580" max="2585" width="9.109375" style="292" customWidth="1"/>
    <col min="2586" max="2816" width="8.88671875" style="292"/>
    <col min="2817" max="2817" width="22.6640625" style="292" customWidth="1"/>
    <col min="2818" max="2819" width="9.88671875" style="292" customWidth="1"/>
    <col min="2820" max="2820" width="10" style="292" customWidth="1"/>
    <col min="2821" max="2822" width="9.88671875" style="292" customWidth="1"/>
    <col min="2823" max="2823" width="10" style="292" customWidth="1"/>
    <col min="2824" max="2824" width="9.88671875" style="292" customWidth="1"/>
    <col min="2825" max="2825" width="8.44140625" style="292" customWidth="1"/>
    <col min="2826" max="2826" width="9.88671875" style="292" customWidth="1"/>
    <col min="2827" max="2827" width="11" style="292" customWidth="1"/>
    <col min="2828" max="2828" width="4.44140625" style="292" customWidth="1"/>
    <col min="2829" max="2829" width="7" style="292" customWidth="1"/>
    <col min="2830" max="2830" width="12.6640625" style="292" customWidth="1"/>
    <col min="2831" max="2831" width="19" style="292" bestFit="1" customWidth="1"/>
    <col min="2832" max="2832" width="28.6640625" style="292" customWidth="1"/>
    <col min="2833" max="2833" width="13.109375" style="292" customWidth="1"/>
    <col min="2834" max="2834" width="12.5546875" style="292" customWidth="1"/>
    <col min="2835" max="2835" width="26" style="292" customWidth="1"/>
    <col min="2836" max="2841" width="9.109375" style="292" customWidth="1"/>
    <col min="2842" max="3072" width="8.88671875" style="292"/>
    <col min="3073" max="3073" width="22.6640625" style="292" customWidth="1"/>
    <col min="3074" max="3075" width="9.88671875" style="292" customWidth="1"/>
    <col min="3076" max="3076" width="10" style="292" customWidth="1"/>
    <col min="3077" max="3078" width="9.88671875" style="292" customWidth="1"/>
    <col min="3079" max="3079" width="10" style="292" customWidth="1"/>
    <col min="3080" max="3080" width="9.88671875" style="292" customWidth="1"/>
    <col min="3081" max="3081" width="8.44140625" style="292" customWidth="1"/>
    <col min="3082" max="3082" width="9.88671875" style="292" customWidth="1"/>
    <col min="3083" max="3083" width="11" style="292" customWidth="1"/>
    <col min="3084" max="3084" width="4.44140625" style="292" customWidth="1"/>
    <col min="3085" max="3085" width="7" style="292" customWidth="1"/>
    <col min="3086" max="3086" width="12.6640625" style="292" customWidth="1"/>
    <col min="3087" max="3087" width="19" style="292" bestFit="1" customWidth="1"/>
    <col min="3088" max="3088" width="28.6640625" style="292" customWidth="1"/>
    <col min="3089" max="3089" width="13.109375" style="292" customWidth="1"/>
    <col min="3090" max="3090" width="12.5546875" style="292" customWidth="1"/>
    <col min="3091" max="3091" width="26" style="292" customWidth="1"/>
    <col min="3092" max="3097" width="9.109375" style="292" customWidth="1"/>
    <col min="3098" max="3328" width="8.88671875" style="292"/>
    <col min="3329" max="3329" width="22.6640625" style="292" customWidth="1"/>
    <col min="3330" max="3331" width="9.88671875" style="292" customWidth="1"/>
    <col min="3332" max="3332" width="10" style="292" customWidth="1"/>
    <col min="3333" max="3334" width="9.88671875" style="292" customWidth="1"/>
    <col min="3335" max="3335" width="10" style="292" customWidth="1"/>
    <col min="3336" max="3336" width="9.88671875" style="292" customWidth="1"/>
    <col min="3337" max="3337" width="8.44140625" style="292" customWidth="1"/>
    <col min="3338" max="3338" width="9.88671875" style="292" customWidth="1"/>
    <col min="3339" max="3339" width="11" style="292" customWidth="1"/>
    <col min="3340" max="3340" width="4.44140625" style="292" customWidth="1"/>
    <col min="3341" max="3341" width="7" style="292" customWidth="1"/>
    <col min="3342" max="3342" width="12.6640625" style="292" customWidth="1"/>
    <col min="3343" max="3343" width="19" style="292" bestFit="1" customWidth="1"/>
    <col min="3344" max="3344" width="28.6640625" style="292" customWidth="1"/>
    <col min="3345" max="3345" width="13.109375" style="292" customWidth="1"/>
    <col min="3346" max="3346" width="12.5546875" style="292" customWidth="1"/>
    <col min="3347" max="3347" width="26" style="292" customWidth="1"/>
    <col min="3348" max="3353" width="9.109375" style="292" customWidth="1"/>
    <col min="3354" max="3584" width="8.88671875" style="292"/>
    <col min="3585" max="3585" width="22.6640625" style="292" customWidth="1"/>
    <col min="3586" max="3587" width="9.88671875" style="292" customWidth="1"/>
    <col min="3588" max="3588" width="10" style="292" customWidth="1"/>
    <col min="3589" max="3590" width="9.88671875" style="292" customWidth="1"/>
    <col min="3591" max="3591" width="10" style="292" customWidth="1"/>
    <col min="3592" max="3592" width="9.88671875" style="292" customWidth="1"/>
    <col min="3593" max="3593" width="8.44140625" style="292" customWidth="1"/>
    <col min="3594" max="3594" width="9.88671875" style="292" customWidth="1"/>
    <col min="3595" max="3595" width="11" style="292" customWidth="1"/>
    <col min="3596" max="3596" width="4.44140625" style="292" customWidth="1"/>
    <col min="3597" max="3597" width="7" style="292" customWidth="1"/>
    <col min="3598" max="3598" width="12.6640625" style="292" customWidth="1"/>
    <col min="3599" max="3599" width="19" style="292" bestFit="1" customWidth="1"/>
    <col min="3600" max="3600" width="28.6640625" style="292" customWidth="1"/>
    <col min="3601" max="3601" width="13.109375" style="292" customWidth="1"/>
    <col min="3602" max="3602" width="12.5546875" style="292" customWidth="1"/>
    <col min="3603" max="3603" width="26" style="292" customWidth="1"/>
    <col min="3604" max="3609" width="9.109375" style="292" customWidth="1"/>
    <col min="3610" max="3840" width="8.88671875" style="292"/>
    <col min="3841" max="3841" width="22.6640625" style="292" customWidth="1"/>
    <col min="3842" max="3843" width="9.88671875" style="292" customWidth="1"/>
    <col min="3844" max="3844" width="10" style="292" customWidth="1"/>
    <col min="3845" max="3846" width="9.88671875" style="292" customWidth="1"/>
    <col min="3847" max="3847" width="10" style="292" customWidth="1"/>
    <col min="3848" max="3848" width="9.88671875" style="292" customWidth="1"/>
    <col min="3849" max="3849" width="8.44140625" style="292" customWidth="1"/>
    <col min="3850" max="3850" width="9.88671875" style="292" customWidth="1"/>
    <col min="3851" max="3851" width="11" style="292" customWidth="1"/>
    <col min="3852" max="3852" width="4.44140625" style="292" customWidth="1"/>
    <col min="3853" max="3853" width="7" style="292" customWidth="1"/>
    <col min="3854" max="3854" width="12.6640625" style="292" customWidth="1"/>
    <col min="3855" max="3855" width="19" style="292" bestFit="1" customWidth="1"/>
    <col min="3856" max="3856" width="28.6640625" style="292" customWidth="1"/>
    <col min="3857" max="3857" width="13.109375" style="292" customWidth="1"/>
    <col min="3858" max="3858" width="12.5546875" style="292" customWidth="1"/>
    <col min="3859" max="3859" width="26" style="292" customWidth="1"/>
    <col min="3860" max="3865" width="9.109375" style="292" customWidth="1"/>
    <col min="3866" max="4096" width="8.88671875" style="292"/>
    <col min="4097" max="4097" width="22.6640625" style="292" customWidth="1"/>
    <col min="4098" max="4099" width="9.88671875" style="292" customWidth="1"/>
    <col min="4100" max="4100" width="10" style="292" customWidth="1"/>
    <col min="4101" max="4102" width="9.88671875" style="292" customWidth="1"/>
    <col min="4103" max="4103" width="10" style="292" customWidth="1"/>
    <col min="4104" max="4104" width="9.88671875" style="292" customWidth="1"/>
    <col min="4105" max="4105" width="8.44140625" style="292" customWidth="1"/>
    <col min="4106" max="4106" width="9.88671875" style="292" customWidth="1"/>
    <col min="4107" max="4107" width="11" style="292" customWidth="1"/>
    <col min="4108" max="4108" width="4.44140625" style="292" customWidth="1"/>
    <col min="4109" max="4109" width="7" style="292" customWidth="1"/>
    <col min="4110" max="4110" width="12.6640625" style="292" customWidth="1"/>
    <col min="4111" max="4111" width="19" style="292" bestFit="1" customWidth="1"/>
    <col min="4112" max="4112" width="28.6640625" style="292" customWidth="1"/>
    <col min="4113" max="4113" width="13.109375" style="292" customWidth="1"/>
    <col min="4114" max="4114" width="12.5546875" style="292" customWidth="1"/>
    <col min="4115" max="4115" width="26" style="292" customWidth="1"/>
    <col min="4116" max="4121" width="9.109375" style="292" customWidth="1"/>
    <col min="4122" max="4352" width="8.88671875" style="292"/>
    <col min="4353" max="4353" width="22.6640625" style="292" customWidth="1"/>
    <col min="4354" max="4355" width="9.88671875" style="292" customWidth="1"/>
    <col min="4356" max="4356" width="10" style="292" customWidth="1"/>
    <col min="4357" max="4358" width="9.88671875" style="292" customWidth="1"/>
    <col min="4359" max="4359" width="10" style="292" customWidth="1"/>
    <col min="4360" max="4360" width="9.88671875" style="292" customWidth="1"/>
    <col min="4361" max="4361" width="8.44140625" style="292" customWidth="1"/>
    <col min="4362" max="4362" width="9.88671875" style="292" customWidth="1"/>
    <col min="4363" max="4363" width="11" style="292" customWidth="1"/>
    <col min="4364" max="4364" width="4.44140625" style="292" customWidth="1"/>
    <col min="4365" max="4365" width="7" style="292" customWidth="1"/>
    <col min="4366" max="4366" width="12.6640625" style="292" customWidth="1"/>
    <col min="4367" max="4367" width="19" style="292" bestFit="1" customWidth="1"/>
    <col min="4368" max="4368" width="28.6640625" style="292" customWidth="1"/>
    <col min="4369" max="4369" width="13.109375" style="292" customWidth="1"/>
    <col min="4370" max="4370" width="12.5546875" style="292" customWidth="1"/>
    <col min="4371" max="4371" width="26" style="292" customWidth="1"/>
    <col min="4372" max="4377" width="9.109375" style="292" customWidth="1"/>
    <col min="4378" max="4608" width="8.88671875" style="292"/>
    <col min="4609" max="4609" width="22.6640625" style="292" customWidth="1"/>
    <col min="4610" max="4611" width="9.88671875" style="292" customWidth="1"/>
    <col min="4612" max="4612" width="10" style="292" customWidth="1"/>
    <col min="4613" max="4614" width="9.88671875" style="292" customWidth="1"/>
    <col min="4615" max="4615" width="10" style="292" customWidth="1"/>
    <col min="4616" max="4616" width="9.88671875" style="292" customWidth="1"/>
    <col min="4617" max="4617" width="8.44140625" style="292" customWidth="1"/>
    <col min="4618" max="4618" width="9.88671875" style="292" customWidth="1"/>
    <col min="4619" max="4619" width="11" style="292" customWidth="1"/>
    <col min="4620" max="4620" width="4.44140625" style="292" customWidth="1"/>
    <col min="4621" max="4621" width="7" style="292" customWidth="1"/>
    <col min="4622" max="4622" width="12.6640625" style="292" customWidth="1"/>
    <col min="4623" max="4623" width="19" style="292" bestFit="1" customWidth="1"/>
    <col min="4624" max="4624" width="28.6640625" style="292" customWidth="1"/>
    <col min="4625" max="4625" width="13.109375" style="292" customWidth="1"/>
    <col min="4626" max="4626" width="12.5546875" style="292" customWidth="1"/>
    <col min="4627" max="4627" width="26" style="292" customWidth="1"/>
    <col min="4628" max="4633" width="9.109375" style="292" customWidth="1"/>
    <col min="4634" max="4864" width="8.88671875" style="292"/>
    <col min="4865" max="4865" width="22.6640625" style="292" customWidth="1"/>
    <col min="4866" max="4867" width="9.88671875" style="292" customWidth="1"/>
    <col min="4868" max="4868" width="10" style="292" customWidth="1"/>
    <col min="4869" max="4870" width="9.88671875" style="292" customWidth="1"/>
    <col min="4871" max="4871" width="10" style="292" customWidth="1"/>
    <col min="4872" max="4872" width="9.88671875" style="292" customWidth="1"/>
    <col min="4873" max="4873" width="8.44140625" style="292" customWidth="1"/>
    <col min="4874" max="4874" width="9.88671875" style="292" customWidth="1"/>
    <col min="4875" max="4875" width="11" style="292" customWidth="1"/>
    <col min="4876" max="4876" width="4.44140625" style="292" customWidth="1"/>
    <col min="4877" max="4877" width="7" style="292" customWidth="1"/>
    <col min="4878" max="4878" width="12.6640625" style="292" customWidth="1"/>
    <col min="4879" max="4879" width="19" style="292" bestFit="1" customWidth="1"/>
    <col min="4880" max="4880" width="28.6640625" style="292" customWidth="1"/>
    <col min="4881" max="4881" width="13.109375" style="292" customWidth="1"/>
    <col min="4882" max="4882" width="12.5546875" style="292" customWidth="1"/>
    <col min="4883" max="4883" width="26" style="292" customWidth="1"/>
    <col min="4884" max="4889" width="9.109375" style="292" customWidth="1"/>
    <col min="4890" max="5120" width="8.88671875" style="292"/>
    <col min="5121" max="5121" width="22.6640625" style="292" customWidth="1"/>
    <col min="5122" max="5123" width="9.88671875" style="292" customWidth="1"/>
    <col min="5124" max="5124" width="10" style="292" customWidth="1"/>
    <col min="5125" max="5126" width="9.88671875" style="292" customWidth="1"/>
    <col min="5127" max="5127" width="10" style="292" customWidth="1"/>
    <col min="5128" max="5128" width="9.88671875" style="292" customWidth="1"/>
    <col min="5129" max="5129" width="8.44140625" style="292" customWidth="1"/>
    <col min="5130" max="5130" width="9.88671875" style="292" customWidth="1"/>
    <col min="5131" max="5131" width="11" style="292" customWidth="1"/>
    <col min="5132" max="5132" width="4.44140625" style="292" customWidth="1"/>
    <col min="5133" max="5133" width="7" style="292" customWidth="1"/>
    <col min="5134" max="5134" width="12.6640625" style="292" customWidth="1"/>
    <col min="5135" max="5135" width="19" style="292" bestFit="1" customWidth="1"/>
    <col min="5136" max="5136" width="28.6640625" style="292" customWidth="1"/>
    <col min="5137" max="5137" width="13.109375" style="292" customWidth="1"/>
    <col min="5138" max="5138" width="12.5546875" style="292" customWidth="1"/>
    <col min="5139" max="5139" width="26" style="292" customWidth="1"/>
    <col min="5140" max="5145" width="9.109375" style="292" customWidth="1"/>
    <col min="5146" max="5376" width="8.88671875" style="292"/>
    <col min="5377" max="5377" width="22.6640625" style="292" customWidth="1"/>
    <col min="5378" max="5379" width="9.88671875" style="292" customWidth="1"/>
    <col min="5380" max="5380" width="10" style="292" customWidth="1"/>
    <col min="5381" max="5382" width="9.88671875" style="292" customWidth="1"/>
    <col min="5383" max="5383" width="10" style="292" customWidth="1"/>
    <col min="5384" max="5384" width="9.88671875" style="292" customWidth="1"/>
    <col min="5385" max="5385" width="8.44140625" style="292" customWidth="1"/>
    <col min="5386" max="5386" width="9.88671875" style="292" customWidth="1"/>
    <col min="5387" max="5387" width="11" style="292" customWidth="1"/>
    <col min="5388" max="5388" width="4.44140625" style="292" customWidth="1"/>
    <col min="5389" max="5389" width="7" style="292" customWidth="1"/>
    <col min="5390" max="5390" width="12.6640625" style="292" customWidth="1"/>
    <col min="5391" max="5391" width="19" style="292" bestFit="1" customWidth="1"/>
    <col min="5392" max="5392" width="28.6640625" style="292" customWidth="1"/>
    <col min="5393" max="5393" width="13.109375" style="292" customWidth="1"/>
    <col min="5394" max="5394" width="12.5546875" style="292" customWidth="1"/>
    <col min="5395" max="5395" width="26" style="292" customWidth="1"/>
    <col min="5396" max="5401" width="9.109375" style="292" customWidth="1"/>
    <col min="5402" max="5632" width="8.88671875" style="292"/>
    <col min="5633" max="5633" width="22.6640625" style="292" customWidth="1"/>
    <col min="5634" max="5635" width="9.88671875" style="292" customWidth="1"/>
    <col min="5636" max="5636" width="10" style="292" customWidth="1"/>
    <col min="5637" max="5638" width="9.88671875" style="292" customWidth="1"/>
    <col min="5639" max="5639" width="10" style="292" customWidth="1"/>
    <col min="5640" max="5640" width="9.88671875" style="292" customWidth="1"/>
    <col min="5641" max="5641" width="8.44140625" style="292" customWidth="1"/>
    <col min="5642" max="5642" width="9.88671875" style="292" customWidth="1"/>
    <col min="5643" max="5643" width="11" style="292" customWidth="1"/>
    <col min="5644" max="5644" width="4.44140625" style="292" customWidth="1"/>
    <col min="5645" max="5645" width="7" style="292" customWidth="1"/>
    <col min="5646" max="5646" width="12.6640625" style="292" customWidth="1"/>
    <col min="5647" max="5647" width="19" style="292" bestFit="1" customWidth="1"/>
    <col min="5648" max="5648" width="28.6640625" style="292" customWidth="1"/>
    <col min="5649" max="5649" width="13.109375" style="292" customWidth="1"/>
    <col min="5650" max="5650" width="12.5546875" style="292" customWidth="1"/>
    <col min="5651" max="5651" width="26" style="292" customWidth="1"/>
    <col min="5652" max="5657" width="9.109375" style="292" customWidth="1"/>
    <col min="5658" max="5888" width="8.88671875" style="292"/>
    <col min="5889" max="5889" width="22.6640625" style="292" customWidth="1"/>
    <col min="5890" max="5891" width="9.88671875" style="292" customWidth="1"/>
    <col min="5892" max="5892" width="10" style="292" customWidth="1"/>
    <col min="5893" max="5894" width="9.88671875" style="292" customWidth="1"/>
    <col min="5895" max="5895" width="10" style="292" customWidth="1"/>
    <col min="5896" max="5896" width="9.88671875" style="292" customWidth="1"/>
    <col min="5897" max="5897" width="8.44140625" style="292" customWidth="1"/>
    <col min="5898" max="5898" width="9.88671875" style="292" customWidth="1"/>
    <col min="5899" max="5899" width="11" style="292" customWidth="1"/>
    <col min="5900" max="5900" width="4.44140625" style="292" customWidth="1"/>
    <col min="5901" max="5901" width="7" style="292" customWidth="1"/>
    <col min="5902" max="5902" width="12.6640625" style="292" customWidth="1"/>
    <col min="5903" max="5903" width="19" style="292" bestFit="1" customWidth="1"/>
    <col min="5904" max="5904" width="28.6640625" style="292" customWidth="1"/>
    <col min="5905" max="5905" width="13.109375" style="292" customWidth="1"/>
    <col min="5906" max="5906" width="12.5546875" style="292" customWidth="1"/>
    <col min="5907" max="5907" width="26" style="292" customWidth="1"/>
    <col min="5908" max="5913" width="9.109375" style="292" customWidth="1"/>
    <col min="5914" max="6144" width="8.88671875" style="292"/>
    <col min="6145" max="6145" width="22.6640625" style="292" customWidth="1"/>
    <col min="6146" max="6147" width="9.88671875" style="292" customWidth="1"/>
    <col min="6148" max="6148" width="10" style="292" customWidth="1"/>
    <col min="6149" max="6150" width="9.88671875" style="292" customWidth="1"/>
    <col min="6151" max="6151" width="10" style="292" customWidth="1"/>
    <col min="6152" max="6152" width="9.88671875" style="292" customWidth="1"/>
    <col min="6153" max="6153" width="8.44140625" style="292" customWidth="1"/>
    <col min="6154" max="6154" width="9.88671875" style="292" customWidth="1"/>
    <col min="6155" max="6155" width="11" style="292" customWidth="1"/>
    <col min="6156" max="6156" width="4.44140625" style="292" customWidth="1"/>
    <col min="6157" max="6157" width="7" style="292" customWidth="1"/>
    <col min="6158" max="6158" width="12.6640625" style="292" customWidth="1"/>
    <col min="6159" max="6159" width="19" style="292" bestFit="1" customWidth="1"/>
    <col min="6160" max="6160" width="28.6640625" style="292" customWidth="1"/>
    <col min="6161" max="6161" width="13.109375" style="292" customWidth="1"/>
    <col min="6162" max="6162" width="12.5546875" style="292" customWidth="1"/>
    <col min="6163" max="6163" width="26" style="292" customWidth="1"/>
    <col min="6164" max="6169" width="9.109375" style="292" customWidth="1"/>
    <col min="6170" max="6400" width="8.88671875" style="292"/>
    <col min="6401" max="6401" width="22.6640625" style="292" customWidth="1"/>
    <col min="6402" max="6403" width="9.88671875" style="292" customWidth="1"/>
    <col min="6404" max="6404" width="10" style="292" customWidth="1"/>
    <col min="6405" max="6406" width="9.88671875" style="292" customWidth="1"/>
    <col min="6407" max="6407" width="10" style="292" customWidth="1"/>
    <col min="6408" max="6408" width="9.88671875" style="292" customWidth="1"/>
    <col min="6409" max="6409" width="8.44140625" style="292" customWidth="1"/>
    <col min="6410" max="6410" width="9.88671875" style="292" customWidth="1"/>
    <col min="6411" max="6411" width="11" style="292" customWidth="1"/>
    <col min="6412" max="6412" width="4.44140625" style="292" customWidth="1"/>
    <col min="6413" max="6413" width="7" style="292" customWidth="1"/>
    <col min="6414" max="6414" width="12.6640625" style="292" customWidth="1"/>
    <col min="6415" max="6415" width="19" style="292" bestFit="1" customWidth="1"/>
    <col min="6416" max="6416" width="28.6640625" style="292" customWidth="1"/>
    <col min="6417" max="6417" width="13.109375" style="292" customWidth="1"/>
    <col min="6418" max="6418" width="12.5546875" style="292" customWidth="1"/>
    <col min="6419" max="6419" width="26" style="292" customWidth="1"/>
    <col min="6420" max="6425" width="9.109375" style="292" customWidth="1"/>
    <col min="6426" max="6656" width="8.88671875" style="292"/>
    <col min="6657" max="6657" width="22.6640625" style="292" customWidth="1"/>
    <col min="6658" max="6659" width="9.88671875" style="292" customWidth="1"/>
    <col min="6660" max="6660" width="10" style="292" customWidth="1"/>
    <col min="6661" max="6662" width="9.88671875" style="292" customWidth="1"/>
    <col min="6663" max="6663" width="10" style="292" customWidth="1"/>
    <col min="6664" max="6664" width="9.88671875" style="292" customWidth="1"/>
    <col min="6665" max="6665" width="8.44140625" style="292" customWidth="1"/>
    <col min="6666" max="6666" width="9.88671875" style="292" customWidth="1"/>
    <col min="6667" max="6667" width="11" style="292" customWidth="1"/>
    <col min="6668" max="6668" width="4.44140625" style="292" customWidth="1"/>
    <col min="6669" max="6669" width="7" style="292" customWidth="1"/>
    <col min="6670" max="6670" width="12.6640625" style="292" customWidth="1"/>
    <col min="6671" max="6671" width="19" style="292" bestFit="1" customWidth="1"/>
    <col min="6672" max="6672" width="28.6640625" style="292" customWidth="1"/>
    <col min="6673" max="6673" width="13.109375" style="292" customWidth="1"/>
    <col min="6674" max="6674" width="12.5546875" style="292" customWidth="1"/>
    <col min="6675" max="6675" width="26" style="292" customWidth="1"/>
    <col min="6676" max="6681" width="9.109375" style="292" customWidth="1"/>
    <col min="6682" max="6912" width="8.88671875" style="292"/>
    <col min="6913" max="6913" width="22.6640625" style="292" customWidth="1"/>
    <col min="6914" max="6915" width="9.88671875" style="292" customWidth="1"/>
    <col min="6916" max="6916" width="10" style="292" customWidth="1"/>
    <col min="6917" max="6918" width="9.88671875" style="292" customWidth="1"/>
    <col min="6919" max="6919" width="10" style="292" customWidth="1"/>
    <col min="6920" max="6920" width="9.88671875" style="292" customWidth="1"/>
    <col min="6921" max="6921" width="8.44140625" style="292" customWidth="1"/>
    <col min="6922" max="6922" width="9.88671875" style="292" customWidth="1"/>
    <col min="6923" max="6923" width="11" style="292" customWidth="1"/>
    <col min="6924" max="6924" width="4.44140625" style="292" customWidth="1"/>
    <col min="6925" max="6925" width="7" style="292" customWidth="1"/>
    <col min="6926" max="6926" width="12.6640625" style="292" customWidth="1"/>
    <col min="6927" max="6927" width="19" style="292" bestFit="1" customWidth="1"/>
    <col min="6928" max="6928" width="28.6640625" style="292" customWidth="1"/>
    <col min="6929" max="6929" width="13.109375" style="292" customWidth="1"/>
    <col min="6930" max="6930" width="12.5546875" style="292" customWidth="1"/>
    <col min="6931" max="6931" width="26" style="292" customWidth="1"/>
    <col min="6932" max="6937" width="9.109375" style="292" customWidth="1"/>
    <col min="6938" max="7168" width="8.88671875" style="292"/>
    <col min="7169" max="7169" width="22.6640625" style="292" customWidth="1"/>
    <col min="7170" max="7171" width="9.88671875" style="292" customWidth="1"/>
    <col min="7172" max="7172" width="10" style="292" customWidth="1"/>
    <col min="7173" max="7174" width="9.88671875" style="292" customWidth="1"/>
    <col min="7175" max="7175" width="10" style="292" customWidth="1"/>
    <col min="7176" max="7176" width="9.88671875" style="292" customWidth="1"/>
    <col min="7177" max="7177" width="8.44140625" style="292" customWidth="1"/>
    <col min="7178" max="7178" width="9.88671875" style="292" customWidth="1"/>
    <col min="7179" max="7179" width="11" style="292" customWidth="1"/>
    <col min="7180" max="7180" width="4.44140625" style="292" customWidth="1"/>
    <col min="7181" max="7181" width="7" style="292" customWidth="1"/>
    <col min="7182" max="7182" width="12.6640625" style="292" customWidth="1"/>
    <col min="7183" max="7183" width="19" style="292" bestFit="1" customWidth="1"/>
    <col min="7184" max="7184" width="28.6640625" style="292" customWidth="1"/>
    <col min="7185" max="7185" width="13.109375" style="292" customWidth="1"/>
    <col min="7186" max="7186" width="12.5546875" style="292" customWidth="1"/>
    <col min="7187" max="7187" width="26" style="292" customWidth="1"/>
    <col min="7188" max="7193" width="9.109375" style="292" customWidth="1"/>
    <col min="7194" max="7424" width="8.88671875" style="292"/>
    <col min="7425" max="7425" width="22.6640625" style="292" customWidth="1"/>
    <col min="7426" max="7427" width="9.88671875" style="292" customWidth="1"/>
    <col min="7428" max="7428" width="10" style="292" customWidth="1"/>
    <col min="7429" max="7430" width="9.88671875" style="292" customWidth="1"/>
    <col min="7431" max="7431" width="10" style="292" customWidth="1"/>
    <col min="7432" max="7432" width="9.88671875" style="292" customWidth="1"/>
    <col min="7433" max="7433" width="8.44140625" style="292" customWidth="1"/>
    <col min="7434" max="7434" width="9.88671875" style="292" customWidth="1"/>
    <col min="7435" max="7435" width="11" style="292" customWidth="1"/>
    <col min="7436" max="7436" width="4.44140625" style="292" customWidth="1"/>
    <col min="7437" max="7437" width="7" style="292" customWidth="1"/>
    <col min="7438" max="7438" width="12.6640625" style="292" customWidth="1"/>
    <col min="7439" max="7439" width="19" style="292" bestFit="1" customWidth="1"/>
    <col min="7440" max="7440" width="28.6640625" style="292" customWidth="1"/>
    <col min="7441" max="7441" width="13.109375" style="292" customWidth="1"/>
    <col min="7442" max="7442" width="12.5546875" style="292" customWidth="1"/>
    <col min="7443" max="7443" width="26" style="292" customWidth="1"/>
    <col min="7444" max="7449" width="9.109375" style="292" customWidth="1"/>
    <col min="7450" max="7680" width="8.88671875" style="292"/>
    <col min="7681" max="7681" width="22.6640625" style="292" customWidth="1"/>
    <col min="7682" max="7683" width="9.88671875" style="292" customWidth="1"/>
    <col min="7684" max="7684" width="10" style="292" customWidth="1"/>
    <col min="7685" max="7686" width="9.88671875" style="292" customWidth="1"/>
    <col min="7687" max="7687" width="10" style="292" customWidth="1"/>
    <col min="7688" max="7688" width="9.88671875" style="292" customWidth="1"/>
    <col min="7689" max="7689" width="8.44140625" style="292" customWidth="1"/>
    <col min="7690" max="7690" width="9.88671875" style="292" customWidth="1"/>
    <col min="7691" max="7691" width="11" style="292" customWidth="1"/>
    <col min="7692" max="7692" width="4.44140625" style="292" customWidth="1"/>
    <col min="7693" max="7693" width="7" style="292" customWidth="1"/>
    <col min="7694" max="7694" width="12.6640625" style="292" customWidth="1"/>
    <col min="7695" max="7695" width="19" style="292" bestFit="1" customWidth="1"/>
    <col min="7696" max="7696" width="28.6640625" style="292" customWidth="1"/>
    <col min="7697" max="7697" width="13.109375" style="292" customWidth="1"/>
    <col min="7698" max="7698" width="12.5546875" style="292" customWidth="1"/>
    <col min="7699" max="7699" width="26" style="292" customWidth="1"/>
    <col min="7700" max="7705" width="9.109375" style="292" customWidth="1"/>
    <col min="7706" max="7936" width="8.88671875" style="292"/>
    <col min="7937" max="7937" width="22.6640625" style="292" customWidth="1"/>
    <col min="7938" max="7939" width="9.88671875" style="292" customWidth="1"/>
    <col min="7940" max="7940" width="10" style="292" customWidth="1"/>
    <col min="7941" max="7942" width="9.88671875" style="292" customWidth="1"/>
    <col min="7943" max="7943" width="10" style="292" customWidth="1"/>
    <col min="7944" max="7944" width="9.88671875" style="292" customWidth="1"/>
    <col min="7945" max="7945" width="8.44140625" style="292" customWidth="1"/>
    <col min="7946" max="7946" width="9.88671875" style="292" customWidth="1"/>
    <col min="7947" max="7947" width="11" style="292" customWidth="1"/>
    <col min="7948" max="7948" width="4.44140625" style="292" customWidth="1"/>
    <col min="7949" max="7949" width="7" style="292" customWidth="1"/>
    <col min="7950" max="7950" width="12.6640625" style="292" customWidth="1"/>
    <col min="7951" max="7951" width="19" style="292" bestFit="1" customWidth="1"/>
    <col min="7952" max="7952" width="28.6640625" style="292" customWidth="1"/>
    <col min="7953" max="7953" width="13.109375" style="292" customWidth="1"/>
    <col min="7954" max="7954" width="12.5546875" style="292" customWidth="1"/>
    <col min="7955" max="7955" width="26" style="292" customWidth="1"/>
    <col min="7956" max="7961" width="9.109375" style="292" customWidth="1"/>
    <col min="7962" max="8192" width="8.88671875" style="292"/>
    <col min="8193" max="8193" width="22.6640625" style="292" customWidth="1"/>
    <col min="8194" max="8195" width="9.88671875" style="292" customWidth="1"/>
    <col min="8196" max="8196" width="10" style="292" customWidth="1"/>
    <col min="8197" max="8198" width="9.88671875" style="292" customWidth="1"/>
    <col min="8199" max="8199" width="10" style="292" customWidth="1"/>
    <col min="8200" max="8200" width="9.88671875" style="292" customWidth="1"/>
    <col min="8201" max="8201" width="8.44140625" style="292" customWidth="1"/>
    <col min="8202" max="8202" width="9.88671875" style="292" customWidth="1"/>
    <col min="8203" max="8203" width="11" style="292" customWidth="1"/>
    <col min="8204" max="8204" width="4.44140625" style="292" customWidth="1"/>
    <col min="8205" max="8205" width="7" style="292" customWidth="1"/>
    <col min="8206" max="8206" width="12.6640625" style="292" customWidth="1"/>
    <col min="8207" max="8207" width="19" style="292" bestFit="1" customWidth="1"/>
    <col min="8208" max="8208" width="28.6640625" style="292" customWidth="1"/>
    <col min="8209" max="8209" width="13.109375" style="292" customWidth="1"/>
    <col min="8210" max="8210" width="12.5546875" style="292" customWidth="1"/>
    <col min="8211" max="8211" width="26" style="292" customWidth="1"/>
    <col min="8212" max="8217" width="9.109375" style="292" customWidth="1"/>
    <col min="8218" max="8448" width="8.88671875" style="292"/>
    <col min="8449" max="8449" width="22.6640625" style="292" customWidth="1"/>
    <col min="8450" max="8451" width="9.88671875" style="292" customWidth="1"/>
    <col min="8452" max="8452" width="10" style="292" customWidth="1"/>
    <col min="8453" max="8454" width="9.88671875" style="292" customWidth="1"/>
    <col min="8455" max="8455" width="10" style="292" customWidth="1"/>
    <col min="8456" max="8456" width="9.88671875" style="292" customWidth="1"/>
    <col min="8457" max="8457" width="8.44140625" style="292" customWidth="1"/>
    <col min="8458" max="8458" width="9.88671875" style="292" customWidth="1"/>
    <col min="8459" max="8459" width="11" style="292" customWidth="1"/>
    <col min="8460" max="8460" width="4.44140625" style="292" customWidth="1"/>
    <col min="8461" max="8461" width="7" style="292" customWidth="1"/>
    <col min="8462" max="8462" width="12.6640625" style="292" customWidth="1"/>
    <col min="8463" max="8463" width="19" style="292" bestFit="1" customWidth="1"/>
    <col min="8464" max="8464" width="28.6640625" style="292" customWidth="1"/>
    <col min="8465" max="8465" width="13.109375" style="292" customWidth="1"/>
    <col min="8466" max="8466" width="12.5546875" style="292" customWidth="1"/>
    <col min="8467" max="8467" width="26" style="292" customWidth="1"/>
    <col min="8468" max="8473" width="9.109375" style="292" customWidth="1"/>
    <col min="8474" max="8704" width="8.88671875" style="292"/>
    <col min="8705" max="8705" width="22.6640625" style="292" customWidth="1"/>
    <col min="8706" max="8707" width="9.88671875" style="292" customWidth="1"/>
    <col min="8708" max="8708" width="10" style="292" customWidth="1"/>
    <col min="8709" max="8710" width="9.88671875" style="292" customWidth="1"/>
    <col min="8711" max="8711" width="10" style="292" customWidth="1"/>
    <col min="8712" max="8712" width="9.88671875" style="292" customWidth="1"/>
    <col min="8713" max="8713" width="8.44140625" style="292" customWidth="1"/>
    <col min="8714" max="8714" width="9.88671875" style="292" customWidth="1"/>
    <col min="8715" max="8715" width="11" style="292" customWidth="1"/>
    <col min="8716" max="8716" width="4.44140625" style="292" customWidth="1"/>
    <col min="8717" max="8717" width="7" style="292" customWidth="1"/>
    <col min="8718" max="8718" width="12.6640625" style="292" customWidth="1"/>
    <col min="8719" max="8719" width="19" style="292" bestFit="1" customWidth="1"/>
    <col min="8720" max="8720" width="28.6640625" style="292" customWidth="1"/>
    <col min="8721" max="8721" width="13.109375" style="292" customWidth="1"/>
    <col min="8722" max="8722" width="12.5546875" style="292" customWidth="1"/>
    <col min="8723" max="8723" width="26" style="292" customWidth="1"/>
    <col min="8724" max="8729" width="9.109375" style="292" customWidth="1"/>
    <col min="8730" max="8960" width="8.88671875" style="292"/>
    <col min="8961" max="8961" width="22.6640625" style="292" customWidth="1"/>
    <col min="8962" max="8963" width="9.88671875" style="292" customWidth="1"/>
    <col min="8964" max="8964" width="10" style="292" customWidth="1"/>
    <col min="8965" max="8966" width="9.88671875" style="292" customWidth="1"/>
    <col min="8967" max="8967" width="10" style="292" customWidth="1"/>
    <col min="8968" max="8968" width="9.88671875" style="292" customWidth="1"/>
    <col min="8969" max="8969" width="8.44140625" style="292" customWidth="1"/>
    <col min="8970" max="8970" width="9.88671875" style="292" customWidth="1"/>
    <col min="8971" max="8971" width="11" style="292" customWidth="1"/>
    <col min="8972" max="8972" width="4.44140625" style="292" customWidth="1"/>
    <col min="8973" max="8973" width="7" style="292" customWidth="1"/>
    <col min="8974" max="8974" width="12.6640625" style="292" customWidth="1"/>
    <col min="8975" max="8975" width="19" style="292" bestFit="1" customWidth="1"/>
    <col min="8976" max="8976" width="28.6640625" style="292" customWidth="1"/>
    <col min="8977" max="8977" width="13.109375" style="292" customWidth="1"/>
    <col min="8978" max="8978" width="12.5546875" style="292" customWidth="1"/>
    <col min="8979" max="8979" width="26" style="292" customWidth="1"/>
    <col min="8980" max="8985" width="9.109375" style="292" customWidth="1"/>
    <col min="8986" max="9216" width="8.88671875" style="292"/>
    <col min="9217" max="9217" width="22.6640625" style="292" customWidth="1"/>
    <col min="9218" max="9219" width="9.88671875" style="292" customWidth="1"/>
    <col min="9220" max="9220" width="10" style="292" customWidth="1"/>
    <col min="9221" max="9222" width="9.88671875" style="292" customWidth="1"/>
    <col min="9223" max="9223" width="10" style="292" customWidth="1"/>
    <col min="9224" max="9224" width="9.88671875" style="292" customWidth="1"/>
    <col min="9225" max="9225" width="8.44140625" style="292" customWidth="1"/>
    <col min="9226" max="9226" width="9.88671875" style="292" customWidth="1"/>
    <col min="9227" max="9227" width="11" style="292" customWidth="1"/>
    <col min="9228" max="9228" width="4.44140625" style="292" customWidth="1"/>
    <col min="9229" max="9229" width="7" style="292" customWidth="1"/>
    <col min="9230" max="9230" width="12.6640625" style="292" customWidth="1"/>
    <col min="9231" max="9231" width="19" style="292" bestFit="1" customWidth="1"/>
    <col min="9232" max="9232" width="28.6640625" style="292" customWidth="1"/>
    <col min="9233" max="9233" width="13.109375" style="292" customWidth="1"/>
    <col min="9234" max="9234" width="12.5546875" style="292" customWidth="1"/>
    <col min="9235" max="9235" width="26" style="292" customWidth="1"/>
    <col min="9236" max="9241" width="9.109375" style="292" customWidth="1"/>
    <col min="9242" max="9472" width="8.88671875" style="292"/>
    <col min="9473" max="9473" width="22.6640625" style="292" customWidth="1"/>
    <col min="9474" max="9475" width="9.88671875" style="292" customWidth="1"/>
    <col min="9476" max="9476" width="10" style="292" customWidth="1"/>
    <col min="9477" max="9478" width="9.88671875" style="292" customWidth="1"/>
    <col min="9479" max="9479" width="10" style="292" customWidth="1"/>
    <col min="9480" max="9480" width="9.88671875" style="292" customWidth="1"/>
    <col min="9481" max="9481" width="8.44140625" style="292" customWidth="1"/>
    <col min="9482" max="9482" width="9.88671875" style="292" customWidth="1"/>
    <col min="9483" max="9483" width="11" style="292" customWidth="1"/>
    <col min="9484" max="9484" width="4.44140625" style="292" customWidth="1"/>
    <col min="9485" max="9485" width="7" style="292" customWidth="1"/>
    <col min="9486" max="9486" width="12.6640625" style="292" customWidth="1"/>
    <col min="9487" max="9487" width="19" style="292" bestFit="1" customWidth="1"/>
    <col min="9488" max="9488" width="28.6640625" style="292" customWidth="1"/>
    <col min="9489" max="9489" width="13.109375" style="292" customWidth="1"/>
    <col min="9490" max="9490" width="12.5546875" style="292" customWidth="1"/>
    <col min="9491" max="9491" width="26" style="292" customWidth="1"/>
    <col min="9492" max="9497" width="9.109375" style="292" customWidth="1"/>
    <col min="9498" max="9728" width="8.88671875" style="292"/>
    <col min="9729" max="9729" width="22.6640625" style="292" customWidth="1"/>
    <col min="9730" max="9731" width="9.88671875" style="292" customWidth="1"/>
    <col min="9732" max="9732" width="10" style="292" customWidth="1"/>
    <col min="9733" max="9734" width="9.88671875" style="292" customWidth="1"/>
    <col min="9735" max="9735" width="10" style="292" customWidth="1"/>
    <col min="9736" max="9736" width="9.88671875" style="292" customWidth="1"/>
    <col min="9737" max="9737" width="8.44140625" style="292" customWidth="1"/>
    <col min="9738" max="9738" width="9.88671875" style="292" customWidth="1"/>
    <col min="9739" max="9739" width="11" style="292" customWidth="1"/>
    <col min="9740" max="9740" width="4.44140625" style="292" customWidth="1"/>
    <col min="9741" max="9741" width="7" style="292" customWidth="1"/>
    <col min="9742" max="9742" width="12.6640625" style="292" customWidth="1"/>
    <col min="9743" max="9743" width="19" style="292" bestFit="1" customWidth="1"/>
    <col min="9744" max="9744" width="28.6640625" style="292" customWidth="1"/>
    <col min="9745" max="9745" width="13.109375" style="292" customWidth="1"/>
    <col min="9746" max="9746" width="12.5546875" style="292" customWidth="1"/>
    <col min="9747" max="9747" width="26" style="292" customWidth="1"/>
    <col min="9748" max="9753" width="9.109375" style="292" customWidth="1"/>
    <col min="9754" max="9984" width="8.88671875" style="292"/>
    <col min="9985" max="9985" width="22.6640625" style="292" customWidth="1"/>
    <col min="9986" max="9987" width="9.88671875" style="292" customWidth="1"/>
    <col min="9988" max="9988" width="10" style="292" customWidth="1"/>
    <col min="9989" max="9990" width="9.88671875" style="292" customWidth="1"/>
    <col min="9991" max="9991" width="10" style="292" customWidth="1"/>
    <col min="9992" max="9992" width="9.88671875" style="292" customWidth="1"/>
    <col min="9993" max="9993" width="8.44140625" style="292" customWidth="1"/>
    <col min="9994" max="9994" width="9.88671875" style="292" customWidth="1"/>
    <col min="9995" max="9995" width="11" style="292" customWidth="1"/>
    <col min="9996" max="9996" width="4.44140625" style="292" customWidth="1"/>
    <col min="9997" max="9997" width="7" style="292" customWidth="1"/>
    <col min="9998" max="9998" width="12.6640625" style="292" customWidth="1"/>
    <col min="9999" max="9999" width="19" style="292" bestFit="1" customWidth="1"/>
    <col min="10000" max="10000" width="28.6640625" style="292" customWidth="1"/>
    <col min="10001" max="10001" width="13.109375" style="292" customWidth="1"/>
    <col min="10002" max="10002" width="12.5546875" style="292" customWidth="1"/>
    <col min="10003" max="10003" width="26" style="292" customWidth="1"/>
    <col min="10004" max="10009" width="9.109375" style="292" customWidth="1"/>
    <col min="10010" max="10240" width="8.88671875" style="292"/>
    <col min="10241" max="10241" width="22.6640625" style="292" customWidth="1"/>
    <col min="10242" max="10243" width="9.88671875" style="292" customWidth="1"/>
    <col min="10244" max="10244" width="10" style="292" customWidth="1"/>
    <col min="10245" max="10246" width="9.88671875" style="292" customWidth="1"/>
    <col min="10247" max="10247" width="10" style="292" customWidth="1"/>
    <col min="10248" max="10248" width="9.88671875" style="292" customWidth="1"/>
    <col min="10249" max="10249" width="8.44140625" style="292" customWidth="1"/>
    <col min="10250" max="10250" width="9.88671875" style="292" customWidth="1"/>
    <col min="10251" max="10251" width="11" style="292" customWidth="1"/>
    <col min="10252" max="10252" width="4.44140625" style="292" customWidth="1"/>
    <col min="10253" max="10253" width="7" style="292" customWidth="1"/>
    <col min="10254" max="10254" width="12.6640625" style="292" customWidth="1"/>
    <col min="10255" max="10255" width="19" style="292" bestFit="1" customWidth="1"/>
    <col min="10256" max="10256" width="28.6640625" style="292" customWidth="1"/>
    <col min="10257" max="10257" width="13.109375" style="292" customWidth="1"/>
    <col min="10258" max="10258" width="12.5546875" style="292" customWidth="1"/>
    <col min="10259" max="10259" width="26" style="292" customWidth="1"/>
    <col min="10260" max="10265" width="9.109375" style="292" customWidth="1"/>
    <col min="10266" max="10496" width="8.88671875" style="292"/>
    <col min="10497" max="10497" width="22.6640625" style="292" customWidth="1"/>
    <col min="10498" max="10499" width="9.88671875" style="292" customWidth="1"/>
    <col min="10500" max="10500" width="10" style="292" customWidth="1"/>
    <col min="10501" max="10502" width="9.88671875" style="292" customWidth="1"/>
    <col min="10503" max="10503" width="10" style="292" customWidth="1"/>
    <col min="10504" max="10504" width="9.88671875" style="292" customWidth="1"/>
    <col min="10505" max="10505" width="8.44140625" style="292" customWidth="1"/>
    <col min="10506" max="10506" width="9.88671875" style="292" customWidth="1"/>
    <col min="10507" max="10507" width="11" style="292" customWidth="1"/>
    <col min="10508" max="10508" width="4.44140625" style="292" customWidth="1"/>
    <col min="10509" max="10509" width="7" style="292" customWidth="1"/>
    <col min="10510" max="10510" width="12.6640625" style="292" customWidth="1"/>
    <col min="10511" max="10511" width="19" style="292" bestFit="1" customWidth="1"/>
    <col min="10512" max="10512" width="28.6640625" style="292" customWidth="1"/>
    <col min="10513" max="10513" width="13.109375" style="292" customWidth="1"/>
    <col min="10514" max="10514" width="12.5546875" style="292" customWidth="1"/>
    <col min="10515" max="10515" width="26" style="292" customWidth="1"/>
    <col min="10516" max="10521" width="9.109375" style="292" customWidth="1"/>
    <col min="10522" max="10752" width="8.88671875" style="292"/>
    <col min="10753" max="10753" width="22.6640625" style="292" customWidth="1"/>
    <col min="10754" max="10755" width="9.88671875" style="292" customWidth="1"/>
    <col min="10756" max="10756" width="10" style="292" customWidth="1"/>
    <col min="10757" max="10758" width="9.88671875" style="292" customWidth="1"/>
    <col min="10759" max="10759" width="10" style="292" customWidth="1"/>
    <col min="10760" max="10760" width="9.88671875" style="292" customWidth="1"/>
    <col min="10761" max="10761" width="8.44140625" style="292" customWidth="1"/>
    <col min="10762" max="10762" width="9.88671875" style="292" customWidth="1"/>
    <col min="10763" max="10763" width="11" style="292" customWidth="1"/>
    <col min="10764" max="10764" width="4.44140625" style="292" customWidth="1"/>
    <col min="10765" max="10765" width="7" style="292" customWidth="1"/>
    <col min="10766" max="10766" width="12.6640625" style="292" customWidth="1"/>
    <col min="10767" max="10767" width="19" style="292" bestFit="1" customWidth="1"/>
    <col min="10768" max="10768" width="28.6640625" style="292" customWidth="1"/>
    <col min="10769" max="10769" width="13.109375" style="292" customWidth="1"/>
    <col min="10770" max="10770" width="12.5546875" style="292" customWidth="1"/>
    <col min="10771" max="10771" width="26" style="292" customWidth="1"/>
    <col min="10772" max="10777" width="9.109375" style="292" customWidth="1"/>
    <col min="10778" max="11008" width="8.88671875" style="292"/>
    <col min="11009" max="11009" width="22.6640625" style="292" customWidth="1"/>
    <col min="11010" max="11011" width="9.88671875" style="292" customWidth="1"/>
    <col min="11012" max="11012" width="10" style="292" customWidth="1"/>
    <col min="11013" max="11014" width="9.88671875" style="292" customWidth="1"/>
    <col min="11015" max="11015" width="10" style="292" customWidth="1"/>
    <col min="11016" max="11016" width="9.88671875" style="292" customWidth="1"/>
    <col min="11017" max="11017" width="8.44140625" style="292" customWidth="1"/>
    <col min="11018" max="11018" width="9.88671875" style="292" customWidth="1"/>
    <col min="11019" max="11019" width="11" style="292" customWidth="1"/>
    <col min="11020" max="11020" width="4.44140625" style="292" customWidth="1"/>
    <col min="11021" max="11021" width="7" style="292" customWidth="1"/>
    <col min="11022" max="11022" width="12.6640625" style="292" customWidth="1"/>
    <col min="11023" max="11023" width="19" style="292" bestFit="1" customWidth="1"/>
    <col min="11024" max="11024" width="28.6640625" style="292" customWidth="1"/>
    <col min="11025" max="11025" width="13.109375" style="292" customWidth="1"/>
    <col min="11026" max="11026" width="12.5546875" style="292" customWidth="1"/>
    <col min="11027" max="11027" width="26" style="292" customWidth="1"/>
    <col min="11028" max="11033" width="9.109375" style="292" customWidth="1"/>
    <col min="11034" max="11264" width="8.88671875" style="292"/>
    <col min="11265" max="11265" width="22.6640625" style="292" customWidth="1"/>
    <col min="11266" max="11267" width="9.88671875" style="292" customWidth="1"/>
    <col min="11268" max="11268" width="10" style="292" customWidth="1"/>
    <col min="11269" max="11270" width="9.88671875" style="292" customWidth="1"/>
    <col min="11271" max="11271" width="10" style="292" customWidth="1"/>
    <col min="11272" max="11272" width="9.88671875" style="292" customWidth="1"/>
    <col min="11273" max="11273" width="8.44140625" style="292" customWidth="1"/>
    <col min="11274" max="11274" width="9.88671875" style="292" customWidth="1"/>
    <col min="11275" max="11275" width="11" style="292" customWidth="1"/>
    <col min="11276" max="11276" width="4.44140625" style="292" customWidth="1"/>
    <col min="11277" max="11277" width="7" style="292" customWidth="1"/>
    <col min="11278" max="11278" width="12.6640625" style="292" customWidth="1"/>
    <col min="11279" max="11279" width="19" style="292" bestFit="1" customWidth="1"/>
    <col min="11280" max="11280" width="28.6640625" style="292" customWidth="1"/>
    <col min="11281" max="11281" width="13.109375" style="292" customWidth="1"/>
    <col min="11282" max="11282" width="12.5546875" style="292" customWidth="1"/>
    <col min="11283" max="11283" width="26" style="292" customWidth="1"/>
    <col min="11284" max="11289" width="9.109375" style="292" customWidth="1"/>
    <col min="11290" max="11520" width="8.88671875" style="292"/>
    <col min="11521" max="11521" width="22.6640625" style="292" customWidth="1"/>
    <col min="11522" max="11523" width="9.88671875" style="292" customWidth="1"/>
    <col min="11524" max="11524" width="10" style="292" customWidth="1"/>
    <col min="11525" max="11526" width="9.88671875" style="292" customWidth="1"/>
    <col min="11527" max="11527" width="10" style="292" customWidth="1"/>
    <col min="11528" max="11528" width="9.88671875" style="292" customWidth="1"/>
    <col min="11529" max="11529" width="8.44140625" style="292" customWidth="1"/>
    <col min="11530" max="11530" width="9.88671875" style="292" customWidth="1"/>
    <col min="11531" max="11531" width="11" style="292" customWidth="1"/>
    <col min="11532" max="11532" width="4.44140625" style="292" customWidth="1"/>
    <col min="11533" max="11533" width="7" style="292" customWidth="1"/>
    <col min="11534" max="11534" width="12.6640625" style="292" customWidth="1"/>
    <col min="11535" max="11535" width="19" style="292" bestFit="1" customWidth="1"/>
    <col min="11536" max="11536" width="28.6640625" style="292" customWidth="1"/>
    <col min="11537" max="11537" width="13.109375" style="292" customWidth="1"/>
    <col min="11538" max="11538" width="12.5546875" style="292" customWidth="1"/>
    <col min="11539" max="11539" width="26" style="292" customWidth="1"/>
    <col min="11540" max="11545" width="9.109375" style="292" customWidth="1"/>
    <col min="11546" max="11776" width="8.88671875" style="292"/>
    <col min="11777" max="11777" width="22.6640625" style="292" customWidth="1"/>
    <col min="11778" max="11779" width="9.88671875" style="292" customWidth="1"/>
    <col min="11780" max="11780" width="10" style="292" customWidth="1"/>
    <col min="11781" max="11782" width="9.88671875" style="292" customWidth="1"/>
    <col min="11783" max="11783" width="10" style="292" customWidth="1"/>
    <col min="11784" max="11784" width="9.88671875" style="292" customWidth="1"/>
    <col min="11785" max="11785" width="8.44140625" style="292" customWidth="1"/>
    <col min="11786" max="11786" width="9.88671875" style="292" customWidth="1"/>
    <col min="11787" max="11787" width="11" style="292" customWidth="1"/>
    <col min="11788" max="11788" width="4.44140625" style="292" customWidth="1"/>
    <col min="11789" max="11789" width="7" style="292" customWidth="1"/>
    <col min="11790" max="11790" width="12.6640625" style="292" customWidth="1"/>
    <col min="11791" max="11791" width="19" style="292" bestFit="1" customWidth="1"/>
    <col min="11792" max="11792" width="28.6640625" style="292" customWidth="1"/>
    <col min="11793" max="11793" width="13.109375" style="292" customWidth="1"/>
    <col min="11794" max="11794" width="12.5546875" style="292" customWidth="1"/>
    <col min="11795" max="11795" width="26" style="292" customWidth="1"/>
    <col min="11796" max="11801" width="9.109375" style="292" customWidth="1"/>
    <col min="11802" max="12032" width="8.88671875" style="292"/>
    <col min="12033" max="12033" width="22.6640625" style="292" customWidth="1"/>
    <col min="12034" max="12035" width="9.88671875" style="292" customWidth="1"/>
    <col min="12036" max="12036" width="10" style="292" customWidth="1"/>
    <col min="12037" max="12038" width="9.88671875" style="292" customWidth="1"/>
    <col min="12039" max="12039" width="10" style="292" customWidth="1"/>
    <col min="12040" max="12040" width="9.88671875" style="292" customWidth="1"/>
    <col min="12041" max="12041" width="8.44140625" style="292" customWidth="1"/>
    <col min="12042" max="12042" width="9.88671875" style="292" customWidth="1"/>
    <col min="12043" max="12043" width="11" style="292" customWidth="1"/>
    <col min="12044" max="12044" width="4.44140625" style="292" customWidth="1"/>
    <col min="12045" max="12045" width="7" style="292" customWidth="1"/>
    <col min="12046" max="12046" width="12.6640625" style="292" customWidth="1"/>
    <col min="12047" max="12047" width="19" style="292" bestFit="1" customWidth="1"/>
    <col min="12048" max="12048" width="28.6640625" style="292" customWidth="1"/>
    <col min="12049" max="12049" width="13.109375" style="292" customWidth="1"/>
    <col min="12050" max="12050" width="12.5546875" style="292" customWidth="1"/>
    <col min="12051" max="12051" width="26" style="292" customWidth="1"/>
    <col min="12052" max="12057" width="9.109375" style="292" customWidth="1"/>
    <col min="12058" max="12288" width="8.88671875" style="292"/>
    <col min="12289" max="12289" width="22.6640625" style="292" customWidth="1"/>
    <col min="12290" max="12291" width="9.88671875" style="292" customWidth="1"/>
    <col min="12292" max="12292" width="10" style="292" customWidth="1"/>
    <col min="12293" max="12294" width="9.88671875" style="292" customWidth="1"/>
    <col min="12295" max="12295" width="10" style="292" customWidth="1"/>
    <col min="12296" max="12296" width="9.88671875" style="292" customWidth="1"/>
    <col min="12297" max="12297" width="8.44140625" style="292" customWidth="1"/>
    <col min="12298" max="12298" width="9.88671875" style="292" customWidth="1"/>
    <col min="12299" max="12299" width="11" style="292" customWidth="1"/>
    <col min="12300" max="12300" width="4.44140625" style="292" customWidth="1"/>
    <col min="12301" max="12301" width="7" style="292" customWidth="1"/>
    <col min="12302" max="12302" width="12.6640625" style="292" customWidth="1"/>
    <col min="12303" max="12303" width="19" style="292" bestFit="1" customWidth="1"/>
    <col min="12304" max="12304" width="28.6640625" style="292" customWidth="1"/>
    <col min="12305" max="12305" width="13.109375" style="292" customWidth="1"/>
    <col min="12306" max="12306" width="12.5546875" style="292" customWidth="1"/>
    <col min="12307" max="12307" width="26" style="292" customWidth="1"/>
    <col min="12308" max="12313" width="9.109375" style="292" customWidth="1"/>
    <col min="12314" max="12544" width="8.88671875" style="292"/>
    <col min="12545" max="12545" width="22.6640625" style="292" customWidth="1"/>
    <col min="12546" max="12547" width="9.88671875" style="292" customWidth="1"/>
    <col min="12548" max="12548" width="10" style="292" customWidth="1"/>
    <col min="12549" max="12550" width="9.88671875" style="292" customWidth="1"/>
    <col min="12551" max="12551" width="10" style="292" customWidth="1"/>
    <col min="12552" max="12552" width="9.88671875" style="292" customWidth="1"/>
    <col min="12553" max="12553" width="8.44140625" style="292" customWidth="1"/>
    <col min="12554" max="12554" width="9.88671875" style="292" customWidth="1"/>
    <col min="12555" max="12555" width="11" style="292" customWidth="1"/>
    <col min="12556" max="12556" width="4.44140625" style="292" customWidth="1"/>
    <col min="12557" max="12557" width="7" style="292" customWidth="1"/>
    <col min="12558" max="12558" width="12.6640625" style="292" customWidth="1"/>
    <col min="12559" max="12559" width="19" style="292" bestFit="1" customWidth="1"/>
    <col min="12560" max="12560" width="28.6640625" style="292" customWidth="1"/>
    <col min="12561" max="12561" width="13.109375" style="292" customWidth="1"/>
    <col min="12562" max="12562" width="12.5546875" style="292" customWidth="1"/>
    <col min="12563" max="12563" width="26" style="292" customWidth="1"/>
    <col min="12564" max="12569" width="9.109375" style="292" customWidth="1"/>
    <col min="12570" max="12800" width="8.88671875" style="292"/>
    <col min="12801" max="12801" width="22.6640625" style="292" customWidth="1"/>
    <col min="12802" max="12803" width="9.88671875" style="292" customWidth="1"/>
    <col min="12804" max="12804" width="10" style="292" customWidth="1"/>
    <col min="12805" max="12806" width="9.88671875" style="292" customWidth="1"/>
    <col min="12807" max="12807" width="10" style="292" customWidth="1"/>
    <col min="12808" max="12808" width="9.88671875" style="292" customWidth="1"/>
    <col min="12809" max="12809" width="8.44140625" style="292" customWidth="1"/>
    <col min="12810" max="12810" width="9.88671875" style="292" customWidth="1"/>
    <col min="12811" max="12811" width="11" style="292" customWidth="1"/>
    <col min="12812" max="12812" width="4.44140625" style="292" customWidth="1"/>
    <col min="12813" max="12813" width="7" style="292" customWidth="1"/>
    <col min="12814" max="12814" width="12.6640625" style="292" customWidth="1"/>
    <col min="12815" max="12815" width="19" style="292" bestFit="1" customWidth="1"/>
    <col min="12816" max="12816" width="28.6640625" style="292" customWidth="1"/>
    <col min="12817" max="12817" width="13.109375" style="292" customWidth="1"/>
    <col min="12818" max="12818" width="12.5546875" style="292" customWidth="1"/>
    <col min="12819" max="12819" width="26" style="292" customWidth="1"/>
    <col min="12820" max="12825" width="9.109375" style="292" customWidth="1"/>
    <col min="12826" max="13056" width="8.88671875" style="292"/>
    <col min="13057" max="13057" width="22.6640625" style="292" customWidth="1"/>
    <col min="13058" max="13059" width="9.88671875" style="292" customWidth="1"/>
    <col min="13060" max="13060" width="10" style="292" customWidth="1"/>
    <col min="13061" max="13062" width="9.88671875" style="292" customWidth="1"/>
    <col min="13063" max="13063" width="10" style="292" customWidth="1"/>
    <col min="13064" max="13064" width="9.88671875" style="292" customWidth="1"/>
    <col min="13065" max="13065" width="8.44140625" style="292" customWidth="1"/>
    <col min="13066" max="13066" width="9.88671875" style="292" customWidth="1"/>
    <col min="13067" max="13067" width="11" style="292" customWidth="1"/>
    <col min="13068" max="13068" width="4.44140625" style="292" customWidth="1"/>
    <col min="13069" max="13069" width="7" style="292" customWidth="1"/>
    <col min="13070" max="13070" width="12.6640625" style="292" customWidth="1"/>
    <col min="13071" max="13071" width="19" style="292" bestFit="1" customWidth="1"/>
    <col min="13072" max="13072" width="28.6640625" style="292" customWidth="1"/>
    <col min="13073" max="13073" width="13.109375" style="292" customWidth="1"/>
    <col min="13074" max="13074" width="12.5546875" style="292" customWidth="1"/>
    <col min="13075" max="13075" width="26" style="292" customWidth="1"/>
    <col min="13076" max="13081" width="9.109375" style="292" customWidth="1"/>
    <col min="13082" max="13312" width="8.88671875" style="292"/>
    <col min="13313" max="13313" width="22.6640625" style="292" customWidth="1"/>
    <col min="13314" max="13315" width="9.88671875" style="292" customWidth="1"/>
    <col min="13316" max="13316" width="10" style="292" customWidth="1"/>
    <col min="13317" max="13318" width="9.88671875" style="292" customWidth="1"/>
    <col min="13319" max="13319" width="10" style="292" customWidth="1"/>
    <col min="13320" max="13320" width="9.88671875" style="292" customWidth="1"/>
    <col min="13321" max="13321" width="8.44140625" style="292" customWidth="1"/>
    <col min="13322" max="13322" width="9.88671875" style="292" customWidth="1"/>
    <col min="13323" max="13323" width="11" style="292" customWidth="1"/>
    <col min="13324" max="13324" width="4.44140625" style="292" customWidth="1"/>
    <col min="13325" max="13325" width="7" style="292" customWidth="1"/>
    <col min="13326" max="13326" width="12.6640625" style="292" customWidth="1"/>
    <col min="13327" max="13327" width="19" style="292" bestFit="1" customWidth="1"/>
    <col min="13328" max="13328" width="28.6640625" style="292" customWidth="1"/>
    <col min="13329" max="13329" width="13.109375" style="292" customWidth="1"/>
    <col min="13330" max="13330" width="12.5546875" style="292" customWidth="1"/>
    <col min="13331" max="13331" width="26" style="292" customWidth="1"/>
    <col min="13332" max="13337" width="9.109375" style="292" customWidth="1"/>
    <col min="13338" max="13568" width="8.88671875" style="292"/>
    <col min="13569" max="13569" width="22.6640625" style="292" customWidth="1"/>
    <col min="13570" max="13571" width="9.88671875" style="292" customWidth="1"/>
    <col min="13572" max="13572" width="10" style="292" customWidth="1"/>
    <col min="13573" max="13574" width="9.88671875" style="292" customWidth="1"/>
    <col min="13575" max="13575" width="10" style="292" customWidth="1"/>
    <col min="13576" max="13576" width="9.88671875" style="292" customWidth="1"/>
    <col min="13577" max="13577" width="8.44140625" style="292" customWidth="1"/>
    <col min="13578" max="13578" width="9.88671875" style="292" customWidth="1"/>
    <col min="13579" max="13579" width="11" style="292" customWidth="1"/>
    <col min="13580" max="13580" width="4.44140625" style="292" customWidth="1"/>
    <col min="13581" max="13581" width="7" style="292" customWidth="1"/>
    <col min="13582" max="13582" width="12.6640625" style="292" customWidth="1"/>
    <col min="13583" max="13583" width="19" style="292" bestFit="1" customWidth="1"/>
    <col min="13584" max="13584" width="28.6640625" style="292" customWidth="1"/>
    <col min="13585" max="13585" width="13.109375" style="292" customWidth="1"/>
    <col min="13586" max="13586" width="12.5546875" style="292" customWidth="1"/>
    <col min="13587" max="13587" width="26" style="292" customWidth="1"/>
    <col min="13588" max="13593" width="9.109375" style="292" customWidth="1"/>
    <col min="13594" max="13824" width="8.88671875" style="292"/>
    <col min="13825" max="13825" width="22.6640625" style="292" customWidth="1"/>
    <col min="13826" max="13827" width="9.88671875" style="292" customWidth="1"/>
    <col min="13828" max="13828" width="10" style="292" customWidth="1"/>
    <col min="13829" max="13830" width="9.88671875" style="292" customWidth="1"/>
    <col min="13831" max="13831" width="10" style="292" customWidth="1"/>
    <col min="13832" max="13832" width="9.88671875" style="292" customWidth="1"/>
    <col min="13833" max="13833" width="8.44140625" style="292" customWidth="1"/>
    <col min="13834" max="13834" width="9.88671875" style="292" customWidth="1"/>
    <col min="13835" max="13835" width="11" style="292" customWidth="1"/>
    <col min="13836" max="13836" width="4.44140625" style="292" customWidth="1"/>
    <col min="13837" max="13837" width="7" style="292" customWidth="1"/>
    <col min="13838" max="13838" width="12.6640625" style="292" customWidth="1"/>
    <col min="13839" max="13839" width="19" style="292" bestFit="1" customWidth="1"/>
    <col min="13840" max="13840" width="28.6640625" style="292" customWidth="1"/>
    <col min="13841" max="13841" width="13.109375" style="292" customWidth="1"/>
    <col min="13842" max="13842" width="12.5546875" style="292" customWidth="1"/>
    <col min="13843" max="13843" width="26" style="292" customWidth="1"/>
    <col min="13844" max="13849" width="9.109375" style="292" customWidth="1"/>
    <col min="13850" max="14080" width="8.88671875" style="292"/>
    <col min="14081" max="14081" width="22.6640625" style="292" customWidth="1"/>
    <col min="14082" max="14083" width="9.88671875" style="292" customWidth="1"/>
    <col min="14084" max="14084" width="10" style="292" customWidth="1"/>
    <col min="14085" max="14086" width="9.88671875" style="292" customWidth="1"/>
    <col min="14087" max="14087" width="10" style="292" customWidth="1"/>
    <col min="14088" max="14088" width="9.88671875" style="292" customWidth="1"/>
    <col min="14089" max="14089" width="8.44140625" style="292" customWidth="1"/>
    <col min="14090" max="14090" width="9.88671875" style="292" customWidth="1"/>
    <col min="14091" max="14091" width="11" style="292" customWidth="1"/>
    <col min="14092" max="14092" width="4.44140625" style="292" customWidth="1"/>
    <col min="14093" max="14093" width="7" style="292" customWidth="1"/>
    <col min="14094" max="14094" width="12.6640625" style="292" customWidth="1"/>
    <col min="14095" max="14095" width="19" style="292" bestFit="1" customWidth="1"/>
    <col min="14096" max="14096" width="28.6640625" style="292" customWidth="1"/>
    <col min="14097" max="14097" width="13.109375" style="292" customWidth="1"/>
    <col min="14098" max="14098" width="12.5546875" style="292" customWidth="1"/>
    <col min="14099" max="14099" width="26" style="292" customWidth="1"/>
    <col min="14100" max="14105" width="9.109375" style="292" customWidth="1"/>
    <col min="14106" max="14336" width="8.88671875" style="292"/>
    <col min="14337" max="14337" width="22.6640625" style="292" customWidth="1"/>
    <col min="14338" max="14339" width="9.88671875" style="292" customWidth="1"/>
    <col min="14340" max="14340" width="10" style="292" customWidth="1"/>
    <col min="14341" max="14342" width="9.88671875" style="292" customWidth="1"/>
    <col min="14343" max="14343" width="10" style="292" customWidth="1"/>
    <col min="14344" max="14344" width="9.88671875" style="292" customWidth="1"/>
    <col min="14345" max="14345" width="8.44140625" style="292" customWidth="1"/>
    <col min="14346" max="14346" width="9.88671875" style="292" customWidth="1"/>
    <col min="14347" max="14347" width="11" style="292" customWidth="1"/>
    <col min="14348" max="14348" width="4.44140625" style="292" customWidth="1"/>
    <col min="14349" max="14349" width="7" style="292" customWidth="1"/>
    <col min="14350" max="14350" width="12.6640625" style="292" customWidth="1"/>
    <col min="14351" max="14351" width="19" style="292" bestFit="1" customWidth="1"/>
    <col min="14352" max="14352" width="28.6640625" style="292" customWidth="1"/>
    <col min="14353" max="14353" width="13.109375" style="292" customWidth="1"/>
    <col min="14354" max="14354" width="12.5546875" style="292" customWidth="1"/>
    <col min="14355" max="14355" width="26" style="292" customWidth="1"/>
    <col min="14356" max="14361" width="9.109375" style="292" customWidth="1"/>
    <col min="14362" max="14592" width="8.88671875" style="292"/>
    <col min="14593" max="14593" width="22.6640625" style="292" customWidth="1"/>
    <col min="14594" max="14595" width="9.88671875" style="292" customWidth="1"/>
    <col min="14596" max="14596" width="10" style="292" customWidth="1"/>
    <col min="14597" max="14598" width="9.88671875" style="292" customWidth="1"/>
    <col min="14599" max="14599" width="10" style="292" customWidth="1"/>
    <col min="14600" max="14600" width="9.88671875" style="292" customWidth="1"/>
    <col min="14601" max="14601" width="8.44140625" style="292" customWidth="1"/>
    <col min="14602" max="14602" width="9.88671875" style="292" customWidth="1"/>
    <col min="14603" max="14603" width="11" style="292" customWidth="1"/>
    <col min="14604" max="14604" width="4.44140625" style="292" customWidth="1"/>
    <col min="14605" max="14605" width="7" style="292" customWidth="1"/>
    <col min="14606" max="14606" width="12.6640625" style="292" customWidth="1"/>
    <col min="14607" max="14607" width="19" style="292" bestFit="1" customWidth="1"/>
    <col min="14608" max="14608" width="28.6640625" style="292" customWidth="1"/>
    <col min="14609" max="14609" width="13.109375" style="292" customWidth="1"/>
    <col min="14610" max="14610" width="12.5546875" style="292" customWidth="1"/>
    <col min="14611" max="14611" width="26" style="292" customWidth="1"/>
    <col min="14612" max="14617" width="9.109375" style="292" customWidth="1"/>
    <col min="14618" max="14848" width="8.88671875" style="292"/>
    <col min="14849" max="14849" width="22.6640625" style="292" customWidth="1"/>
    <col min="14850" max="14851" width="9.88671875" style="292" customWidth="1"/>
    <col min="14852" max="14852" width="10" style="292" customWidth="1"/>
    <col min="14853" max="14854" width="9.88671875" style="292" customWidth="1"/>
    <col min="14855" max="14855" width="10" style="292" customWidth="1"/>
    <col min="14856" max="14856" width="9.88671875" style="292" customWidth="1"/>
    <col min="14857" max="14857" width="8.44140625" style="292" customWidth="1"/>
    <col min="14858" max="14858" width="9.88671875" style="292" customWidth="1"/>
    <col min="14859" max="14859" width="11" style="292" customWidth="1"/>
    <col min="14860" max="14860" width="4.44140625" style="292" customWidth="1"/>
    <col min="14861" max="14861" width="7" style="292" customWidth="1"/>
    <col min="14862" max="14862" width="12.6640625" style="292" customWidth="1"/>
    <col min="14863" max="14863" width="19" style="292" bestFit="1" customWidth="1"/>
    <col min="14864" max="14864" width="28.6640625" style="292" customWidth="1"/>
    <col min="14865" max="14865" width="13.109375" style="292" customWidth="1"/>
    <col min="14866" max="14866" width="12.5546875" style="292" customWidth="1"/>
    <col min="14867" max="14867" width="26" style="292" customWidth="1"/>
    <col min="14868" max="14873" width="9.109375" style="292" customWidth="1"/>
    <col min="14874" max="15104" width="8.88671875" style="292"/>
    <col min="15105" max="15105" width="22.6640625" style="292" customWidth="1"/>
    <col min="15106" max="15107" width="9.88671875" style="292" customWidth="1"/>
    <col min="15108" max="15108" width="10" style="292" customWidth="1"/>
    <col min="15109" max="15110" width="9.88671875" style="292" customWidth="1"/>
    <col min="15111" max="15111" width="10" style="292" customWidth="1"/>
    <col min="15112" max="15112" width="9.88671875" style="292" customWidth="1"/>
    <col min="15113" max="15113" width="8.44140625" style="292" customWidth="1"/>
    <col min="15114" max="15114" width="9.88671875" style="292" customWidth="1"/>
    <col min="15115" max="15115" width="11" style="292" customWidth="1"/>
    <col min="15116" max="15116" width="4.44140625" style="292" customWidth="1"/>
    <col min="15117" max="15117" width="7" style="292" customWidth="1"/>
    <col min="15118" max="15118" width="12.6640625" style="292" customWidth="1"/>
    <col min="15119" max="15119" width="19" style="292" bestFit="1" customWidth="1"/>
    <col min="15120" max="15120" width="28.6640625" style="292" customWidth="1"/>
    <col min="15121" max="15121" width="13.109375" style="292" customWidth="1"/>
    <col min="15122" max="15122" width="12.5546875" style="292" customWidth="1"/>
    <col min="15123" max="15123" width="26" style="292" customWidth="1"/>
    <col min="15124" max="15129" width="9.109375" style="292" customWidth="1"/>
    <col min="15130" max="15360" width="8.88671875" style="292"/>
    <col min="15361" max="15361" width="22.6640625" style="292" customWidth="1"/>
    <col min="15362" max="15363" width="9.88671875" style="292" customWidth="1"/>
    <col min="15364" max="15364" width="10" style="292" customWidth="1"/>
    <col min="15365" max="15366" width="9.88671875" style="292" customWidth="1"/>
    <col min="15367" max="15367" width="10" style="292" customWidth="1"/>
    <col min="15368" max="15368" width="9.88671875" style="292" customWidth="1"/>
    <col min="15369" max="15369" width="8.44140625" style="292" customWidth="1"/>
    <col min="15370" max="15370" width="9.88671875" style="292" customWidth="1"/>
    <col min="15371" max="15371" width="11" style="292" customWidth="1"/>
    <col min="15372" max="15372" width="4.44140625" style="292" customWidth="1"/>
    <col min="15373" max="15373" width="7" style="292" customWidth="1"/>
    <col min="15374" max="15374" width="12.6640625" style="292" customWidth="1"/>
    <col min="15375" max="15375" width="19" style="292" bestFit="1" customWidth="1"/>
    <col min="15376" max="15376" width="28.6640625" style="292" customWidth="1"/>
    <col min="15377" max="15377" width="13.109375" style="292" customWidth="1"/>
    <col min="15378" max="15378" width="12.5546875" style="292" customWidth="1"/>
    <col min="15379" max="15379" width="26" style="292" customWidth="1"/>
    <col min="15380" max="15385" width="9.109375" style="292" customWidth="1"/>
    <col min="15386" max="15616" width="8.88671875" style="292"/>
    <col min="15617" max="15617" width="22.6640625" style="292" customWidth="1"/>
    <col min="15618" max="15619" width="9.88671875" style="292" customWidth="1"/>
    <col min="15620" max="15620" width="10" style="292" customWidth="1"/>
    <col min="15621" max="15622" width="9.88671875" style="292" customWidth="1"/>
    <col min="15623" max="15623" width="10" style="292" customWidth="1"/>
    <col min="15624" max="15624" width="9.88671875" style="292" customWidth="1"/>
    <col min="15625" max="15625" width="8.44140625" style="292" customWidth="1"/>
    <col min="15626" max="15626" width="9.88671875" style="292" customWidth="1"/>
    <col min="15627" max="15627" width="11" style="292" customWidth="1"/>
    <col min="15628" max="15628" width="4.44140625" style="292" customWidth="1"/>
    <col min="15629" max="15629" width="7" style="292" customWidth="1"/>
    <col min="15630" max="15630" width="12.6640625" style="292" customWidth="1"/>
    <col min="15631" max="15631" width="19" style="292" bestFit="1" customWidth="1"/>
    <col min="15632" max="15632" width="28.6640625" style="292" customWidth="1"/>
    <col min="15633" max="15633" width="13.109375" style="292" customWidth="1"/>
    <col min="15634" max="15634" width="12.5546875" style="292" customWidth="1"/>
    <col min="15635" max="15635" width="26" style="292" customWidth="1"/>
    <col min="15636" max="15641" width="9.109375" style="292" customWidth="1"/>
    <col min="15642" max="15872" width="8.88671875" style="292"/>
    <col min="15873" max="15873" width="22.6640625" style="292" customWidth="1"/>
    <col min="15874" max="15875" width="9.88671875" style="292" customWidth="1"/>
    <col min="15876" max="15876" width="10" style="292" customWidth="1"/>
    <col min="15877" max="15878" width="9.88671875" style="292" customWidth="1"/>
    <col min="15879" max="15879" width="10" style="292" customWidth="1"/>
    <col min="15880" max="15880" width="9.88671875" style="292" customWidth="1"/>
    <col min="15881" max="15881" width="8.44140625" style="292" customWidth="1"/>
    <col min="15882" max="15882" width="9.88671875" style="292" customWidth="1"/>
    <col min="15883" max="15883" width="11" style="292" customWidth="1"/>
    <col min="15884" max="15884" width="4.44140625" style="292" customWidth="1"/>
    <col min="15885" max="15885" width="7" style="292" customWidth="1"/>
    <col min="15886" max="15886" width="12.6640625" style="292" customWidth="1"/>
    <col min="15887" max="15887" width="19" style="292" bestFit="1" customWidth="1"/>
    <col min="15888" max="15888" width="28.6640625" style="292" customWidth="1"/>
    <col min="15889" max="15889" width="13.109375" style="292" customWidth="1"/>
    <col min="15890" max="15890" width="12.5546875" style="292" customWidth="1"/>
    <col min="15891" max="15891" width="26" style="292" customWidth="1"/>
    <col min="15892" max="15897" width="9.109375" style="292" customWidth="1"/>
    <col min="15898" max="16128" width="8.88671875" style="292"/>
    <col min="16129" max="16129" width="22.6640625" style="292" customWidth="1"/>
    <col min="16130" max="16131" width="9.88671875" style="292" customWidth="1"/>
    <col min="16132" max="16132" width="10" style="292" customWidth="1"/>
    <col min="16133" max="16134" width="9.88671875" style="292" customWidth="1"/>
    <col min="16135" max="16135" width="10" style="292" customWidth="1"/>
    <col min="16136" max="16136" width="9.88671875" style="292" customWidth="1"/>
    <col min="16137" max="16137" width="8.44140625" style="292" customWidth="1"/>
    <col min="16138" max="16138" width="9.88671875" style="292" customWidth="1"/>
    <col min="16139" max="16139" width="11" style="292" customWidth="1"/>
    <col min="16140" max="16140" width="4.44140625" style="292" customWidth="1"/>
    <col min="16141" max="16141" width="7" style="292" customWidth="1"/>
    <col min="16142" max="16142" width="12.6640625" style="292" customWidth="1"/>
    <col min="16143" max="16143" width="19" style="292" bestFit="1" customWidth="1"/>
    <col min="16144" max="16144" width="28.6640625" style="292" customWidth="1"/>
    <col min="16145" max="16145" width="13.109375" style="292" customWidth="1"/>
    <col min="16146" max="16146" width="12.5546875" style="292" customWidth="1"/>
    <col min="16147" max="16147" width="26" style="292" customWidth="1"/>
    <col min="16148" max="16153" width="9.109375" style="292" customWidth="1"/>
    <col min="16154" max="16384" width="8.88671875" style="292"/>
  </cols>
  <sheetData>
    <row r="1" spans="1:25" ht="25.8" x14ac:dyDescent="0.25">
      <c r="A1" s="410" t="str">
        <f>NAZEV</f>
        <v>R E G I O N E M   O R L I C K A   L A N Š K R O U N   2 0 1 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 t="str">
        <f>NAZEV</f>
        <v>R E G I O N E M   O R L I C K A   L A N Š K R O U N   2 0 1 5</v>
      </c>
      <c r="M1" s="410"/>
      <c r="N1" s="410"/>
      <c r="O1" s="410"/>
      <c r="P1" s="410"/>
      <c r="Q1" s="410"/>
      <c r="R1" s="410"/>
      <c r="S1" s="410"/>
    </row>
    <row r="2" spans="1:25" ht="18" x14ac:dyDescent="0.35">
      <c r="A2" s="411" t="str">
        <f>PODTITUL</f>
        <v>29. ročník mezinárodního cyklistického závodu juniorů / 29th edition of international cycling race of juniors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1" t="str">
        <f>PODTITUL</f>
        <v>29. ročník mezinárodního cyklistického závodu juniorů / 29th edition of international cycling race of juniors</v>
      </c>
      <c r="M2" s="412"/>
      <c r="N2" s="412"/>
      <c r="O2" s="412"/>
      <c r="P2" s="412"/>
      <c r="Q2" s="412"/>
      <c r="R2" s="412"/>
      <c r="S2" s="412"/>
    </row>
    <row r="3" spans="1:25" ht="15.6" x14ac:dyDescent="0.3">
      <c r="B3" s="413"/>
      <c r="C3" s="413"/>
      <c r="D3" s="413"/>
      <c r="E3" s="413"/>
      <c r="F3" s="413"/>
      <c r="G3" s="294"/>
      <c r="H3" s="294"/>
      <c r="I3" s="294"/>
      <c r="J3" s="294"/>
      <c r="K3" s="295" t="str">
        <f>"Com.no.: 29/" &amp; NOOFLISTS</f>
        <v>Com.no.: 29/33</v>
      </c>
      <c r="M3" s="413"/>
      <c r="N3" s="413"/>
      <c r="O3" s="413"/>
      <c r="P3" s="413"/>
      <c r="Q3" s="413"/>
      <c r="R3" s="294"/>
      <c r="S3" s="295" t="str">
        <f>"Com.no.: 29/" &amp; NOOFLISTS</f>
        <v>Com.no.: 29/33</v>
      </c>
    </row>
    <row r="4" spans="1:25" x14ac:dyDescent="0.3">
      <c r="A4" s="296" t="str">
        <f>"Datum / Date: "&amp; DATUMVSE</f>
        <v>Datum / Date: 7.8. - 9.8. 2015</v>
      </c>
      <c r="K4" s="295" t="str">
        <f>"Místo konání / Place: "&amp;MISTO&amp;""</f>
        <v>Místo konání / Place: Lanškroun (CZE)</v>
      </c>
      <c r="L4" s="296" t="str">
        <f>"Datum / Date: "&amp; DATUMVSE</f>
        <v>Datum / Date: 7.8. - 9.8. 2015</v>
      </c>
      <c r="M4" s="293"/>
      <c r="N4" s="293"/>
      <c r="O4" s="293"/>
      <c r="P4" s="293"/>
      <c r="Q4" s="293"/>
      <c r="R4" s="293"/>
      <c r="S4" s="295" t="str">
        <f>"Místo konání / Place: "&amp;MISTO&amp;""</f>
        <v>Místo konání / Place: Lanškroun (CZE)</v>
      </c>
    </row>
    <row r="5" spans="1:25" ht="21" x14ac:dyDescent="0.3">
      <c r="A5" s="408" t="str">
        <f xml:space="preserve"> "C E N Y   " &amp; MID(ROK,1,1) &amp; " " &amp; MID(ROK,2,1) &amp; " " &amp; MID(ROK,3,1) &amp; " "&amp; MID(ROK,4,1)  &amp; "   /   P R I Z E   L I S T   " &amp;  MID(ROK,1,1) &amp; " " &amp; MID(ROK,2,1) &amp; " "&amp; MID(ROK,3,1) &amp; " "&amp; MID(ROK,4,1)</f>
        <v>C E N Y   2 0 1 5   /   P R I Z E   L I S T   2 0 1 5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8" t="s">
        <v>655</v>
      </c>
      <c r="M5" s="409"/>
      <c r="N5" s="409"/>
      <c r="O5" s="409"/>
      <c r="P5" s="409"/>
      <c r="Q5" s="409"/>
      <c r="R5" s="409"/>
      <c r="S5" s="409"/>
    </row>
    <row r="6" spans="1:25" s="293" customFormat="1" x14ac:dyDescent="0.3"/>
    <row r="7" spans="1:25" s="293" customFormat="1" ht="14.4" x14ac:dyDescent="0.3">
      <c r="A7" s="297"/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8"/>
      <c r="M7" s="298" t="s">
        <v>1</v>
      </c>
      <c r="N7" s="298" t="s">
        <v>2</v>
      </c>
      <c r="O7" s="298" t="s">
        <v>3</v>
      </c>
      <c r="P7" s="298" t="s">
        <v>4</v>
      </c>
      <c r="Q7" s="298" t="s">
        <v>5</v>
      </c>
      <c r="R7" s="298" t="s">
        <v>20</v>
      </c>
      <c r="S7" s="298" t="s">
        <v>656</v>
      </c>
      <c r="V7" s="298" t="s">
        <v>657</v>
      </c>
      <c r="W7" s="298" t="s">
        <v>658</v>
      </c>
      <c r="X7" s="298" t="s">
        <v>659</v>
      </c>
      <c r="Y7" s="298" t="s">
        <v>660</v>
      </c>
    </row>
    <row r="8" spans="1:25" s="293" customFormat="1" ht="14.4" x14ac:dyDescent="0.3">
      <c r="A8" s="299"/>
      <c r="B8" s="300"/>
      <c r="C8" s="300"/>
      <c r="D8" s="300"/>
      <c r="E8" s="300"/>
      <c r="F8" s="300"/>
      <c r="G8" s="300"/>
      <c r="H8" s="300"/>
      <c r="I8" s="301"/>
      <c r="J8" s="301"/>
      <c r="K8" s="301"/>
      <c r="L8" s="302"/>
      <c r="M8" s="302" t="s">
        <v>7</v>
      </c>
      <c r="N8" s="302" t="s">
        <v>8</v>
      </c>
      <c r="O8" s="302" t="s">
        <v>9</v>
      </c>
      <c r="P8" s="302" t="s">
        <v>14</v>
      </c>
      <c r="Q8" s="302" t="s">
        <v>10</v>
      </c>
      <c r="R8" s="302" t="s">
        <v>661</v>
      </c>
      <c r="S8" s="302" t="s">
        <v>30</v>
      </c>
      <c r="V8" s="302"/>
      <c r="W8" s="302"/>
      <c r="X8" s="302"/>
      <c r="Y8" s="302"/>
    </row>
    <row r="9" spans="1:25" s="293" customFormat="1" ht="15" thickBot="1" x14ac:dyDescent="0.35">
      <c r="A9" s="303"/>
      <c r="B9" s="300"/>
      <c r="C9" s="300"/>
      <c r="D9" s="300"/>
      <c r="E9" s="300"/>
      <c r="F9" s="300"/>
      <c r="G9" s="300"/>
      <c r="H9" s="300"/>
      <c r="I9" s="300"/>
      <c r="J9" s="301"/>
      <c r="K9" s="301"/>
      <c r="R9" s="292"/>
      <c r="V9" s="304">
        <f>C10</f>
        <v>0</v>
      </c>
      <c r="W9" s="304">
        <f>B10</f>
        <v>0</v>
      </c>
      <c r="X9" s="305">
        <v>1</v>
      </c>
      <c r="Y9" s="306">
        <f t="shared" ref="Y9:Y72" si="0">SUMIF($V$9:$V$47,$X$9:$X$138,$W$9:$W$47)</f>
        <v>0</v>
      </c>
    </row>
    <row r="10" spans="1:25" s="293" customFormat="1" ht="14.4" x14ac:dyDescent="0.3">
      <c r="A10" s="301"/>
      <c r="B10" s="307"/>
      <c r="C10" s="308"/>
      <c r="D10" s="307"/>
      <c r="E10" s="308"/>
      <c r="F10" s="307"/>
      <c r="G10" s="308"/>
      <c r="H10" s="307"/>
      <c r="I10" s="308"/>
      <c r="J10" s="309"/>
      <c r="K10" s="310"/>
      <c r="L10" s="403" t="s">
        <v>662</v>
      </c>
      <c r="M10" s="403"/>
      <c r="N10" s="403"/>
      <c r="O10" s="403"/>
      <c r="P10" s="403"/>
      <c r="Q10" s="403"/>
      <c r="R10" s="403"/>
      <c r="S10" s="403"/>
      <c r="V10" s="304">
        <f>C11</f>
        <v>0</v>
      </c>
      <c r="W10" s="304">
        <f>B11</f>
        <v>0</v>
      </c>
      <c r="X10" s="305">
        <v>2</v>
      </c>
      <c r="Y10" s="306">
        <f t="shared" si="0"/>
        <v>0</v>
      </c>
    </row>
    <row r="11" spans="1:25" s="293" customFormat="1" ht="14.4" x14ac:dyDescent="0.3">
      <c r="A11" s="301"/>
      <c r="B11" s="307"/>
      <c r="C11" s="308"/>
      <c r="D11" s="307"/>
      <c r="E11" s="308"/>
      <c r="F11" s="307"/>
      <c r="G11" s="308"/>
      <c r="H11" s="307"/>
      <c r="I11" s="308"/>
      <c r="J11" s="309"/>
      <c r="K11" s="310"/>
      <c r="L11" s="311"/>
      <c r="M11" s="311"/>
      <c r="N11" s="311"/>
      <c r="O11" s="311"/>
      <c r="P11" s="311"/>
      <c r="Q11" s="311"/>
      <c r="R11" s="311"/>
      <c r="S11" s="311"/>
      <c r="V11" s="304">
        <f>C12</f>
        <v>0</v>
      </c>
      <c r="W11" s="304">
        <f>B12</f>
        <v>0</v>
      </c>
      <c r="X11" s="305">
        <v>3</v>
      </c>
      <c r="Y11" s="306">
        <f t="shared" si="0"/>
        <v>0</v>
      </c>
    </row>
    <row r="12" spans="1:25" s="293" customFormat="1" ht="14.4" x14ac:dyDescent="0.3">
      <c r="A12" s="301"/>
      <c r="B12" s="307"/>
      <c r="C12" s="308"/>
      <c r="D12" s="307"/>
      <c r="E12" s="308"/>
      <c r="F12" s="307"/>
      <c r="G12" s="308"/>
      <c r="H12" s="307"/>
      <c r="I12" s="308"/>
      <c r="J12" s="309"/>
      <c r="K12" s="310"/>
      <c r="L12" s="391"/>
      <c r="M12" s="394"/>
      <c r="N12" s="396" t="e">
        <f>VLOOKUP(M12,STARTOVKA,2,0)</f>
        <v>#N/A</v>
      </c>
      <c r="O12" s="398" t="e">
        <f>VLOOKUP(M12,STARTOVKA,3,0)</f>
        <v>#N/A</v>
      </c>
      <c r="P12" s="396" t="e">
        <f>VLOOKUP(M12,STARTOVKA,4,0)</f>
        <v>#N/A</v>
      </c>
      <c r="Q12" s="396" t="e">
        <f>VLOOKUP(M12,STARTOVKA,5,0)</f>
        <v>#N/A</v>
      </c>
      <c r="R12" s="388" t="e">
        <f>VLOOKUP(M12,$X$9:$Y$78,2,0)</f>
        <v>#N/A</v>
      </c>
      <c r="S12" s="390"/>
      <c r="V12" s="304">
        <f>E10</f>
        <v>0</v>
      </c>
      <c r="W12" s="304">
        <f>D10</f>
        <v>0</v>
      </c>
      <c r="X12" s="312">
        <v>4</v>
      </c>
      <c r="Y12" s="306">
        <f t="shared" si="0"/>
        <v>0</v>
      </c>
    </row>
    <row r="13" spans="1:25" s="293" customFormat="1" ht="14.4" x14ac:dyDescent="0.3">
      <c r="A13" s="301"/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93"/>
      <c r="M13" s="395"/>
      <c r="N13" s="397"/>
      <c r="O13" s="399"/>
      <c r="P13" s="397"/>
      <c r="Q13" s="397"/>
      <c r="R13" s="389"/>
      <c r="S13" s="389"/>
      <c r="T13" s="313"/>
      <c r="V13" s="304">
        <f>E11</f>
        <v>0</v>
      </c>
      <c r="W13" s="304">
        <f>D11</f>
        <v>0</v>
      </c>
      <c r="X13" s="312">
        <v>5</v>
      </c>
      <c r="Y13" s="306">
        <f t="shared" si="0"/>
        <v>0</v>
      </c>
    </row>
    <row r="14" spans="1:25" s="293" customFormat="1" ht="14.4" thickBot="1" x14ac:dyDescent="0.35">
      <c r="L14" s="391"/>
      <c r="M14" s="394"/>
      <c r="N14" s="396" t="e">
        <f>VLOOKUP(M14,STARTOVKA,2,0)</f>
        <v>#N/A</v>
      </c>
      <c r="O14" s="398" t="e">
        <f>VLOOKUP(M14,STARTOVKA,3,0)</f>
        <v>#N/A</v>
      </c>
      <c r="P14" s="396" t="e">
        <f>VLOOKUP(M14,STARTOVKA,4,0)</f>
        <v>#N/A</v>
      </c>
      <c r="Q14" s="396" t="e">
        <f>VLOOKUP(M14,STARTOVKA,5,0)</f>
        <v>#N/A</v>
      </c>
      <c r="R14" s="388" t="e">
        <f>VLOOKUP(M14,$X$9:$Y$78,2,0)</f>
        <v>#N/A</v>
      </c>
      <c r="S14" s="390"/>
      <c r="V14" s="304">
        <f>E12</f>
        <v>0</v>
      </c>
      <c r="W14" s="304">
        <f>D12</f>
        <v>0</v>
      </c>
      <c r="X14" s="312">
        <v>6</v>
      </c>
      <c r="Y14" s="306">
        <f t="shared" si="0"/>
        <v>0</v>
      </c>
    </row>
    <row r="15" spans="1:25" s="293" customFormat="1" ht="14.4" x14ac:dyDescent="0.3">
      <c r="A15" s="403" t="s">
        <v>663</v>
      </c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393"/>
      <c r="M15" s="395"/>
      <c r="N15" s="397"/>
      <c r="O15" s="399"/>
      <c r="P15" s="397"/>
      <c r="Q15" s="397"/>
      <c r="R15" s="389"/>
      <c r="S15" s="389"/>
      <c r="V15" s="304">
        <f>G10</f>
        <v>0</v>
      </c>
      <c r="W15" s="304">
        <f>F10</f>
        <v>0</v>
      </c>
      <c r="X15" s="305">
        <v>7</v>
      </c>
      <c r="Y15" s="306">
        <f t="shared" si="0"/>
        <v>0</v>
      </c>
    </row>
    <row r="16" spans="1:25" ht="14.4" x14ac:dyDescent="0.3">
      <c r="A16" s="298" t="s">
        <v>0</v>
      </c>
      <c r="B16" s="407" t="s">
        <v>664</v>
      </c>
      <c r="C16" s="407"/>
      <c r="D16" s="407"/>
      <c r="E16" s="407"/>
      <c r="F16" s="407"/>
      <c r="G16" s="407"/>
      <c r="H16" s="407"/>
      <c r="I16" s="311"/>
      <c r="J16" s="311"/>
      <c r="K16" s="311"/>
      <c r="L16" s="391"/>
      <c r="M16" s="394"/>
      <c r="N16" s="396" t="e">
        <f>VLOOKUP(M16,STARTOVKA,2,0)</f>
        <v>#N/A</v>
      </c>
      <c r="O16" s="398" t="e">
        <f>VLOOKUP(M16,STARTOVKA,3,0)</f>
        <v>#N/A</v>
      </c>
      <c r="P16" s="396" t="e">
        <f>VLOOKUP(M16,STARTOVKA,4,0)</f>
        <v>#N/A</v>
      </c>
      <c r="Q16" s="396" t="e">
        <f>VLOOKUP(M16,STARTOVKA,5,0)</f>
        <v>#N/A</v>
      </c>
      <c r="R16" s="388" t="e">
        <f>VLOOKUP(M16,$X$9:$Y$78,2,0)</f>
        <v>#N/A</v>
      </c>
      <c r="S16" s="390"/>
      <c r="T16" s="293"/>
      <c r="V16" s="304">
        <f>G11</f>
        <v>0</v>
      </c>
      <c r="W16" s="304">
        <f>F11</f>
        <v>0</v>
      </c>
      <c r="X16" s="305">
        <v>8</v>
      </c>
      <c r="Y16" s="306">
        <f t="shared" si="0"/>
        <v>0</v>
      </c>
    </row>
    <row r="17" spans="1:25" s="293" customFormat="1" ht="14.4" x14ac:dyDescent="0.3">
      <c r="A17" s="314" t="s">
        <v>6</v>
      </c>
      <c r="B17" s="311" t="s">
        <v>665</v>
      </c>
      <c r="C17" s="311"/>
      <c r="D17" s="311" t="s">
        <v>31</v>
      </c>
      <c r="E17" s="311"/>
      <c r="F17" s="311" t="s">
        <v>666</v>
      </c>
      <c r="G17" s="311"/>
      <c r="H17" s="311" t="s">
        <v>667</v>
      </c>
      <c r="I17" s="311"/>
      <c r="J17" s="311" t="s">
        <v>668</v>
      </c>
      <c r="K17" s="311" t="s">
        <v>669</v>
      </c>
      <c r="L17" s="393"/>
      <c r="M17" s="395"/>
      <c r="N17" s="397"/>
      <c r="O17" s="399"/>
      <c r="P17" s="397"/>
      <c r="Q17" s="397"/>
      <c r="R17" s="389"/>
      <c r="S17" s="389"/>
      <c r="V17" s="304">
        <f>G12</f>
        <v>0</v>
      </c>
      <c r="W17" s="304">
        <f>F12</f>
        <v>0</v>
      </c>
      <c r="X17" s="312">
        <v>11</v>
      </c>
      <c r="Y17" s="306">
        <f t="shared" si="0"/>
        <v>0</v>
      </c>
    </row>
    <row r="18" spans="1:25" s="293" customFormat="1" ht="14.4" x14ac:dyDescent="0.3">
      <c r="A18" s="315" t="s">
        <v>670</v>
      </c>
      <c r="B18" s="316">
        <v>300</v>
      </c>
      <c r="C18" s="317"/>
      <c r="D18" s="316">
        <v>300</v>
      </c>
      <c r="E18" s="317"/>
      <c r="F18" s="316">
        <v>300</v>
      </c>
      <c r="G18" s="317"/>
      <c r="H18" s="316">
        <v>300</v>
      </c>
      <c r="I18" s="317"/>
      <c r="J18" s="318">
        <f>SUM(B18,D18,F18,H18,)</f>
        <v>1200</v>
      </c>
      <c r="K18" s="404">
        <f>SUM(J18:J21)</f>
        <v>4800</v>
      </c>
      <c r="L18" s="391"/>
      <c r="M18" s="394"/>
      <c r="N18" s="396" t="e">
        <f>VLOOKUP(M18,STARTOVKA,2,0)</f>
        <v>#N/A</v>
      </c>
      <c r="O18" s="398" t="e">
        <f>VLOOKUP(M18,STARTOVKA,3,0)</f>
        <v>#N/A</v>
      </c>
      <c r="P18" s="396" t="e">
        <f>VLOOKUP(M18,STARTOVKA,4,0)</f>
        <v>#N/A</v>
      </c>
      <c r="Q18" s="396" t="e">
        <f>VLOOKUP(M18,STARTOVKA,5,0)</f>
        <v>#N/A</v>
      </c>
      <c r="R18" s="388" t="e">
        <f>VLOOKUP(M18,$X$9:$Y$78,2,0)</f>
        <v>#N/A</v>
      </c>
      <c r="S18" s="390"/>
      <c r="V18" s="304">
        <f>I10</f>
        <v>0</v>
      </c>
      <c r="W18" s="304">
        <f>H10</f>
        <v>0</v>
      </c>
      <c r="X18" s="305">
        <v>12</v>
      </c>
      <c r="Y18" s="306">
        <f t="shared" si="0"/>
        <v>0</v>
      </c>
    </row>
    <row r="19" spans="1:25" s="293" customFormat="1" ht="14.4" x14ac:dyDescent="0.3">
      <c r="A19" s="315" t="s">
        <v>671</v>
      </c>
      <c r="B19" s="316">
        <v>300</v>
      </c>
      <c r="C19" s="317"/>
      <c r="D19" s="316">
        <v>300</v>
      </c>
      <c r="E19" s="317"/>
      <c r="F19" s="316">
        <v>300</v>
      </c>
      <c r="G19" s="317"/>
      <c r="H19" s="316">
        <v>300</v>
      </c>
      <c r="I19" s="317"/>
      <c r="J19" s="318">
        <f>SUM(B19,D19,F19,H19,)</f>
        <v>1200</v>
      </c>
      <c r="K19" s="405"/>
      <c r="L19" s="393"/>
      <c r="M19" s="395"/>
      <c r="N19" s="397"/>
      <c r="O19" s="399"/>
      <c r="P19" s="397"/>
      <c r="Q19" s="397"/>
      <c r="R19" s="389"/>
      <c r="S19" s="389"/>
      <c r="V19" s="304">
        <f>I11</f>
        <v>0</v>
      </c>
      <c r="W19" s="304">
        <f>H11</f>
        <v>0</v>
      </c>
      <c r="X19" s="312">
        <v>13</v>
      </c>
      <c r="Y19" s="306">
        <f t="shared" si="0"/>
        <v>0</v>
      </c>
    </row>
    <row r="20" spans="1:25" s="293" customFormat="1" ht="14.4" x14ac:dyDescent="0.3">
      <c r="A20" s="315" t="s">
        <v>672</v>
      </c>
      <c r="B20" s="316">
        <v>300</v>
      </c>
      <c r="C20" s="317"/>
      <c r="D20" s="316">
        <v>300</v>
      </c>
      <c r="E20" s="317"/>
      <c r="F20" s="316">
        <v>300</v>
      </c>
      <c r="G20" s="317"/>
      <c r="H20" s="316">
        <v>300</v>
      </c>
      <c r="I20" s="317"/>
      <c r="J20" s="318">
        <f>SUM(B20,D20,F20,H20,)</f>
        <v>1200</v>
      </c>
      <c r="K20" s="405"/>
      <c r="L20" s="391"/>
      <c r="M20" s="394"/>
      <c r="N20" s="396" t="e">
        <f>VLOOKUP(M20,STARTOVKA,2,0)</f>
        <v>#N/A</v>
      </c>
      <c r="O20" s="398" t="e">
        <f>VLOOKUP(M20,STARTOVKA,3,0)</f>
        <v>#N/A</v>
      </c>
      <c r="P20" s="396" t="e">
        <f>VLOOKUP(M20,STARTOVKA,4,0)</f>
        <v>#N/A</v>
      </c>
      <c r="Q20" s="396" t="e">
        <f>VLOOKUP(M20,STARTOVKA,5,0)</f>
        <v>#N/A</v>
      </c>
      <c r="R20" s="388" t="e">
        <f>VLOOKUP(M20,$X$9:$Y$78,2,0)</f>
        <v>#N/A</v>
      </c>
      <c r="S20" s="390"/>
      <c r="V20" s="304">
        <f>I12</f>
        <v>0</v>
      </c>
      <c r="W20" s="304">
        <f>H12</f>
        <v>0</v>
      </c>
      <c r="X20" s="312">
        <v>14</v>
      </c>
      <c r="Y20" s="306">
        <f t="shared" si="0"/>
        <v>0</v>
      </c>
    </row>
    <row r="21" spans="1:25" s="293" customFormat="1" ht="14.4" x14ac:dyDescent="0.3">
      <c r="A21" s="315" t="s">
        <v>673</v>
      </c>
      <c r="B21" s="316">
        <v>300</v>
      </c>
      <c r="C21" s="317"/>
      <c r="D21" s="316">
        <v>300</v>
      </c>
      <c r="E21" s="317"/>
      <c r="F21" s="316">
        <v>300</v>
      </c>
      <c r="G21" s="317"/>
      <c r="H21" s="316">
        <v>300</v>
      </c>
      <c r="I21" s="317"/>
      <c r="J21" s="318">
        <f>SUM(B21,D21,F21,H21,)</f>
        <v>1200</v>
      </c>
      <c r="K21" s="406"/>
      <c r="L21" s="393"/>
      <c r="M21" s="395"/>
      <c r="N21" s="397"/>
      <c r="O21" s="399"/>
      <c r="P21" s="397"/>
      <c r="Q21" s="397"/>
      <c r="R21" s="389"/>
      <c r="S21" s="389"/>
      <c r="V21" s="304">
        <f>C18</f>
        <v>0</v>
      </c>
      <c r="W21" s="304">
        <f>B18</f>
        <v>300</v>
      </c>
      <c r="X21" s="305">
        <v>15</v>
      </c>
      <c r="Y21" s="306">
        <f t="shared" si="0"/>
        <v>0</v>
      </c>
    </row>
    <row r="22" spans="1:25" s="293" customFormat="1" ht="14.4" x14ac:dyDescent="0.3">
      <c r="A22" s="311"/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91"/>
      <c r="M22" s="394"/>
      <c r="N22" s="396" t="e">
        <f>VLOOKUP(M22,STARTOVKA,2,0)</f>
        <v>#N/A</v>
      </c>
      <c r="O22" s="398" t="e">
        <f>VLOOKUP(M22,STARTOVKA,3,0)</f>
        <v>#N/A</v>
      </c>
      <c r="P22" s="396" t="e">
        <f>VLOOKUP(M22,STARTOVKA,4,0)</f>
        <v>#N/A</v>
      </c>
      <c r="Q22" s="396" t="e">
        <f>VLOOKUP(M22,STARTOVKA,5,0)</f>
        <v>#N/A</v>
      </c>
      <c r="R22" s="388" t="e">
        <f>VLOOKUP(M22,$X$9:$Y$78,2,0)</f>
        <v>#N/A</v>
      </c>
      <c r="S22" s="390"/>
      <c r="V22" s="304">
        <f>C19</f>
        <v>0</v>
      </c>
      <c r="W22" s="304">
        <f>B19</f>
        <v>300</v>
      </c>
      <c r="X22" s="305">
        <v>16</v>
      </c>
      <c r="Y22" s="306">
        <f t="shared" si="0"/>
        <v>0</v>
      </c>
    </row>
    <row r="23" spans="1:25" s="293" customFormat="1" ht="14.4" thickBot="1" x14ac:dyDescent="0.35">
      <c r="L23" s="393"/>
      <c r="M23" s="395"/>
      <c r="N23" s="397"/>
      <c r="O23" s="399"/>
      <c r="P23" s="397"/>
      <c r="Q23" s="397"/>
      <c r="R23" s="389"/>
      <c r="S23" s="389"/>
      <c r="V23" s="304">
        <f>C20</f>
        <v>0</v>
      </c>
      <c r="W23" s="304">
        <f>B20</f>
        <v>300</v>
      </c>
      <c r="X23" s="305">
        <v>17</v>
      </c>
      <c r="Y23" s="306">
        <f t="shared" si="0"/>
        <v>0</v>
      </c>
    </row>
    <row r="24" spans="1:25" s="293" customFormat="1" ht="14.4" x14ac:dyDescent="0.3">
      <c r="A24" s="403" t="s">
        <v>674</v>
      </c>
      <c r="B24" s="403"/>
      <c r="C24" s="403"/>
      <c r="D24" s="403"/>
      <c r="L24" s="391"/>
      <c r="M24" s="394"/>
      <c r="N24" s="396" t="e">
        <f>VLOOKUP(M24,STARTOVKA,2,0)</f>
        <v>#N/A</v>
      </c>
      <c r="O24" s="398" t="e">
        <f>VLOOKUP(M24,STARTOVKA,3,0)</f>
        <v>#N/A</v>
      </c>
      <c r="P24" s="396" t="e">
        <f>VLOOKUP(M24,STARTOVKA,4,0)</f>
        <v>#N/A</v>
      </c>
      <c r="Q24" s="396" t="e">
        <f>VLOOKUP(M24,STARTOVKA,5,0)</f>
        <v>#N/A</v>
      </c>
      <c r="R24" s="388" t="e">
        <f>VLOOKUP(M24,$X$9:$Y$78,2,0)</f>
        <v>#N/A</v>
      </c>
      <c r="S24" s="390"/>
      <c r="V24" s="304">
        <f>C21</f>
        <v>0</v>
      </c>
      <c r="W24" s="304">
        <f>B21</f>
        <v>300</v>
      </c>
      <c r="X24" s="305">
        <v>18</v>
      </c>
      <c r="Y24" s="306">
        <f t="shared" si="0"/>
        <v>0</v>
      </c>
    </row>
    <row r="25" spans="1:25" s="293" customFormat="1" ht="14.4" x14ac:dyDescent="0.3">
      <c r="A25" s="311"/>
      <c r="B25" s="311"/>
      <c r="C25" s="311"/>
      <c r="D25" s="311" t="s">
        <v>661</v>
      </c>
      <c r="L25" s="393"/>
      <c r="M25" s="395"/>
      <c r="N25" s="397"/>
      <c r="O25" s="399"/>
      <c r="P25" s="397"/>
      <c r="Q25" s="397"/>
      <c r="R25" s="389"/>
      <c r="S25" s="389"/>
      <c r="V25" s="304">
        <f>E18</f>
        <v>0</v>
      </c>
      <c r="W25" s="304">
        <f>D18</f>
        <v>300</v>
      </c>
      <c r="X25" s="312">
        <v>19</v>
      </c>
      <c r="Y25" s="306">
        <f t="shared" si="0"/>
        <v>0</v>
      </c>
    </row>
    <row r="26" spans="1:25" s="293" customFormat="1" ht="14.4" x14ac:dyDescent="0.3">
      <c r="A26" s="315" t="s">
        <v>675</v>
      </c>
      <c r="B26" s="316">
        <v>3000</v>
      </c>
      <c r="C26" s="319"/>
      <c r="D26" s="400">
        <f>SUM(B26:B35)</f>
        <v>10000</v>
      </c>
      <c r="L26" s="391"/>
      <c r="M26" s="394"/>
      <c r="N26" s="396" t="e">
        <f>VLOOKUP(M26,STARTOVKA,2,0)</f>
        <v>#N/A</v>
      </c>
      <c r="O26" s="398" t="e">
        <f>VLOOKUP(M26,STARTOVKA,3,0)</f>
        <v>#N/A</v>
      </c>
      <c r="P26" s="396" t="e">
        <f>VLOOKUP(M26,STARTOVKA,4,0)</f>
        <v>#N/A</v>
      </c>
      <c r="Q26" s="396" t="e">
        <f>VLOOKUP(M26,STARTOVKA,5,0)</f>
        <v>#N/A</v>
      </c>
      <c r="R26" s="388" t="e">
        <f>VLOOKUP(M26,$X$9:$Y$78,2,0)</f>
        <v>#N/A</v>
      </c>
      <c r="S26" s="390"/>
      <c r="V26" s="304">
        <f>E19</f>
        <v>0</v>
      </c>
      <c r="W26" s="304">
        <f>D19</f>
        <v>300</v>
      </c>
      <c r="X26" s="305">
        <v>20</v>
      </c>
      <c r="Y26" s="306">
        <f t="shared" si="0"/>
        <v>0</v>
      </c>
    </row>
    <row r="27" spans="1:25" s="293" customFormat="1" ht="14.4" x14ac:dyDescent="0.3">
      <c r="A27" s="315" t="s">
        <v>676</v>
      </c>
      <c r="B27" s="316">
        <v>1500</v>
      </c>
      <c r="C27" s="319"/>
      <c r="D27" s="401"/>
      <c r="E27" s="320"/>
      <c r="L27" s="393"/>
      <c r="M27" s="395"/>
      <c r="N27" s="397"/>
      <c r="O27" s="399"/>
      <c r="P27" s="397"/>
      <c r="Q27" s="397"/>
      <c r="R27" s="389"/>
      <c r="S27" s="389"/>
      <c r="V27" s="304">
        <f>E20</f>
        <v>0</v>
      </c>
      <c r="W27" s="304">
        <f>D20</f>
        <v>300</v>
      </c>
      <c r="X27" s="305">
        <v>21</v>
      </c>
      <c r="Y27" s="306">
        <f t="shared" si="0"/>
        <v>0</v>
      </c>
    </row>
    <row r="28" spans="1:25" ht="14.4" x14ac:dyDescent="0.3">
      <c r="A28" s="315" t="s">
        <v>677</v>
      </c>
      <c r="B28" s="316">
        <v>1000</v>
      </c>
      <c r="C28" s="319"/>
      <c r="D28" s="401"/>
      <c r="E28" s="301"/>
      <c r="L28" s="391"/>
      <c r="M28" s="394"/>
      <c r="N28" s="396" t="e">
        <f>VLOOKUP(M28,STARTOVKA,2,0)</f>
        <v>#N/A</v>
      </c>
      <c r="O28" s="398" t="e">
        <f>VLOOKUP(M28,STARTOVKA,3,0)</f>
        <v>#N/A</v>
      </c>
      <c r="P28" s="396" t="e">
        <f>VLOOKUP(M28,STARTOVKA,4,0)</f>
        <v>#N/A</v>
      </c>
      <c r="Q28" s="396" t="e">
        <f>VLOOKUP(M28,STARTOVKA,5,0)</f>
        <v>#N/A</v>
      </c>
      <c r="R28" s="388" t="e">
        <f>VLOOKUP(M28,$X$9:$Y$78,2,0)</f>
        <v>#N/A</v>
      </c>
      <c r="S28" s="390"/>
      <c r="V28" s="304">
        <f>E21</f>
        <v>0</v>
      </c>
      <c r="W28" s="304">
        <f>D21</f>
        <v>300</v>
      </c>
      <c r="X28" s="312">
        <v>22</v>
      </c>
      <c r="Y28" s="306">
        <f t="shared" si="0"/>
        <v>0</v>
      </c>
    </row>
    <row r="29" spans="1:25" ht="14.4" x14ac:dyDescent="0.3">
      <c r="A29" s="315" t="s">
        <v>678</v>
      </c>
      <c r="B29" s="316">
        <v>900</v>
      </c>
      <c r="C29" s="319"/>
      <c r="D29" s="401"/>
      <c r="E29" s="321"/>
      <c r="L29" s="393"/>
      <c r="M29" s="395"/>
      <c r="N29" s="397"/>
      <c r="O29" s="399"/>
      <c r="P29" s="397"/>
      <c r="Q29" s="397"/>
      <c r="R29" s="389"/>
      <c r="S29" s="389"/>
      <c r="V29" s="322">
        <f>G18</f>
        <v>0</v>
      </c>
      <c r="W29" s="322">
        <f>F18</f>
        <v>300</v>
      </c>
      <c r="X29" s="305">
        <v>23</v>
      </c>
      <c r="Y29" s="306">
        <f t="shared" si="0"/>
        <v>0</v>
      </c>
    </row>
    <row r="30" spans="1:25" ht="14.4" x14ac:dyDescent="0.3">
      <c r="A30" s="315" t="s">
        <v>679</v>
      </c>
      <c r="B30" s="316">
        <v>800</v>
      </c>
      <c r="C30" s="319"/>
      <c r="D30" s="401"/>
      <c r="E30" s="321"/>
      <c r="L30" s="391"/>
      <c r="M30" s="394"/>
      <c r="N30" s="396" t="e">
        <f>VLOOKUP(M30,STARTOVKA,2,0)</f>
        <v>#N/A</v>
      </c>
      <c r="O30" s="398" t="e">
        <f>VLOOKUP(M30,STARTOVKA,3,0)</f>
        <v>#N/A</v>
      </c>
      <c r="P30" s="396" t="e">
        <f>VLOOKUP(M30,STARTOVKA,4,0)</f>
        <v>#N/A</v>
      </c>
      <c r="Q30" s="396" t="e">
        <f>VLOOKUP(M30,STARTOVKA,5,0)</f>
        <v>#N/A</v>
      </c>
      <c r="R30" s="388" t="e">
        <f>VLOOKUP(M30,$X$9:$Y$78,2,0)</f>
        <v>#N/A</v>
      </c>
      <c r="S30" s="390"/>
      <c r="V30" s="322">
        <f>G19</f>
        <v>0</v>
      </c>
      <c r="W30" s="322">
        <f>F19</f>
        <v>300</v>
      </c>
      <c r="X30" s="305">
        <v>24</v>
      </c>
      <c r="Y30" s="306">
        <f t="shared" si="0"/>
        <v>0</v>
      </c>
    </row>
    <row r="31" spans="1:25" s="293" customFormat="1" ht="14.4" x14ac:dyDescent="0.3">
      <c r="A31" s="315" t="s">
        <v>680</v>
      </c>
      <c r="B31" s="316">
        <v>700</v>
      </c>
      <c r="C31" s="319"/>
      <c r="D31" s="401"/>
      <c r="E31" s="321"/>
      <c r="L31" s="393"/>
      <c r="M31" s="395"/>
      <c r="N31" s="397"/>
      <c r="O31" s="399"/>
      <c r="P31" s="397"/>
      <c r="Q31" s="397"/>
      <c r="R31" s="389"/>
      <c r="S31" s="389"/>
      <c r="V31" s="322">
        <f>G20</f>
        <v>0</v>
      </c>
      <c r="W31" s="322">
        <f>F20</f>
        <v>300</v>
      </c>
      <c r="X31" s="312">
        <v>25</v>
      </c>
      <c r="Y31" s="306">
        <f t="shared" si="0"/>
        <v>0</v>
      </c>
    </row>
    <row r="32" spans="1:25" ht="14.4" x14ac:dyDescent="0.3">
      <c r="A32" s="315" t="s">
        <v>681</v>
      </c>
      <c r="B32" s="316">
        <v>600</v>
      </c>
      <c r="C32" s="319"/>
      <c r="D32" s="401"/>
      <c r="E32" s="321"/>
      <c r="L32" s="391"/>
      <c r="M32" s="394"/>
      <c r="N32" s="396" t="e">
        <f>VLOOKUP(M32,STARTOVKA,2,0)</f>
        <v>#N/A</v>
      </c>
      <c r="O32" s="398" t="e">
        <f>VLOOKUP(M32,STARTOVKA,3,0)</f>
        <v>#N/A</v>
      </c>
      <c r="P32" s="396" t="e">
        <f>VLOOKUP(M32,STARTOVKA,4,0)</f>
        <v>#N/A</v>
      </c>
      <c r="Q32" s="396" t="e">
        <f>VLOOKUP(M32,STARTOVKA,5,0)</f>
        <v>#N/A</v>
      </c>
      <c r="R32" s="388" t="e">
        <f>VLOOKUP(M32,$X$9:$Y$78,2,0)</f>
        <v>#N/A</v>
      </c>
      <c r="S32" s="390"/>
      <c r="V32" s="322">
        <f>G21</f>
        <v>0</v>
      </c>
      <c r="W32" s="322">
        <f>F21</f>
        <v>300</v>
      </c>
      <c r="X32" s="312">
        <v>26</v>
      </c>
      <c r="Y32" s="306">
        <f t="shared" si="0"/>
        <v>0</v>
      </c>
    </row>
    <row r="33" spans="1:25" ht="14.4" x14ac:dyDescent="0.3">
      <c r="A33" s="315" t="s">
        <v>682</v>
      </c>
      <c r="B33" s="316">
        <v>500</v>
      </c>
      <c r="C33" s="319"/>
      <c r="D33" s="401"/>
      <c r="E33" s="321"/>
      <c r="L33" s="393"/>
      <c r="M33" s="395"/>
      <c r="N33" s="397"/>
      <c r="O33" s="399"/>
      <c r="P33" s="397"/>
      <c r="Q33" s="397"/>
      <c r="R33" s="389"/>
      <c r="S33" s="389"/>
      <c r="V33" s="322">
        <f>I18</f>
        <v>0</v>
      </c>
      <c r="W33" s="322">
        <f>H18</f>
        <v>300</v>
      </c>
      <c r="X33" s="312">
        <v>27</v>
      </c>
      <c r="Y33" s="306">
        <f t="shared" si="0"/>
        <v>0</v>
      </c>
    </row>
    <row r="34" spans="1:25" ht="14.4" x14ac:dyDescent="0.3">
      <c r="A34" s="315" t="s">
        <v>683</v>
      </c>
      <c r="B34" s="316">
        <v>500</v>
      </c>
      <c r="C34" s="319"/>
      <c r="D34" s="401"/>
      <c r="E34" s="321"/>
      <c r="L34" s="391"/>
      <c r="M34" s="394"/>
      <c r="N34" s="396" t="e">
        <f>VLOOKUP(M34,STARTOVKA,2,0)</f>
        <v>#N/A</v>
      </c>
      <c r="O34" s="398" t="e">
        <f>VLOOKUP(M34,STARTOVKA,3,0)</f>
        <v>#N/A</v>
      </c>
      <c r="P34" s="396" t="e">
        <f>VLOOKUP(M34,STARTOVKA,4,0)</f>
        <v>#N/A</v>
      </c>
      <c r="Q34" s="396" t="e">
        <f>VLOOKUP(M34,STARTOVKA,5,0)</f>
        <v>#N/A</v>
      </c>
      <c r="R34" s="388" t="e">
        <f>VLOOKUP(M34,$X$9:$Y$78,2,0)</f>
        <v>#N/A</v>
      </c>
      <c r="S34" s="390"/>
      <c r="V34" s="322">
        <f>I19</f>
        <v>0</v>
      </c>
      <c r="W34" s="322">
        <f>H19</f>
        <v>300</v>
      </c>
      <c r="X34" s="312">
        <v>31</v>
      </c>
      <c r="Y34" s="306">
        <f t="shared" si="0"/>
        <v>0</v>
      </c>
    </row>
    <row r="35" spans="1:25" s="293" customFormat="1" ht="14.4" x14ac:dyDescent="0.3">
      <c r="A35" s="315" t="s">
        <v>684</v>
      </c>
      <c r="B35" s="316">
        <v>500</v>
      </c>
      <c r="C35" s="319"/>
      <c r="D35" s="402"/>
      <c r="E35" s="321"/>
      <c r="L35" s="393"/>
      <c r="M35" s="395"/>
      <c r="N35" s="397"/>
      <c r="O35" s="399"/>
      <c r="P35" s="397"/>
      <c r="Q35" s="397"/>
      <c r="R35" s="389"/>
      <c r="S35" s="389"/>
      <c r="V35" s="322">
        <f>I20</f>
        <v>0</v>
      </c>
      <c r="W35" s="322">
        <f>H20</f>
        <v>300</v>
      </c>
      <c r="X35" s="312">
        <v>32</v>
      </c>
      <c r="Y35" s="306">
        <f t="shared" si="0"/>
        <v>0</v>
      </c>
    </row>
    <row r="36" spans="1:25" s="293" customFormat="1" ht="14.4" x14ac:dyDescent="0.3">
      <c r="A36" s="311"/>
      <c r="B36" s="311"/>
      <c r="C36" s="311"/>
      <c r="D36" s="311"/>
      <c r="E36" s="321"/>
      <c r="L36" s="391"/>
      <c r="M36" s="394"/>
      <c r="N36" s="396" t="e">
        <f>VLOOKUP(M36,STARTOVKA,2,0)</f>
        <v>#N/A</v>
      </c>
      <c r="O36" s="398" t="e">
        <f>VLOOKUP(M36,STARTOVKA,3,0)</f>
        <v>#N/A</v>
      </c>
      <c r="P36" s="396" t="e">
        <f>VLOOKUP(M36,STARTOVKA,4,0)</f>
        <v>#N/A</v>
      </c>
      <c r="Q36" s="396" t="e">
        <f>VLOOKUP(M36,STARTOVKA,5,0)</f>
        <v>#N/A</v>
      </c>
      <c r="R36" s="388" t="e">
        <f>VLOOKUP(M36,$X$9:$Y$78,2,0)</f>
        <v>#N/A</v>
      </c>
      <c r="S36" s="390"/>
      <c r="V36" s="322">
        <f>I21</f>
        <v>0</v>
      </c>
      <c r="W36" s="322">
        <f>H21</f>
        <v>300</v>
      </c>
      <c r="X36" s="312">
        <v>33</v>
      </c>
      <c r="Y36" s="306">
        <f t="shared" si="0"/>
        <v>0</v>
      </c>
    </row>
    <row r="37" spans="1:25" s="293" customFormat="1" ht="14.4" x14ac:dyDescent="0.3">
      <c r="E37" s="321"/>
      <c r="L37" s="393"/>
      <c r="M37" s="395"/>
      <c r="N37" s="397"/>
      <c r="O37" s="399"/>
      <c r="P37" s="397"/>
      <c r="Q37" s="397"/>
      <c r="R37" s="389"/>
      <c r="S37" s="389"/>
      <c r="V37" s="304">
        <f t="shared" ref="V37:V44" si="1">C26</f>
        <v>0</v>
      </c>
      <c r="W37" s="304">
        <f t="shared" ref="W37:W44" si="2">B26</f>
        <v>3000</v>
      </c>
      <c r="X37" s="312">
        <v>34</v>
      </c>
      <c r="Y37" s="306">
        <f t="shared" si="0"/>
        <v>0</v>
      </c>
    </row>
    <row r="38" spans="1:25" s="293" customFormat="1" ht="14.4" x14ac:dyDescent="0.3">
      <c r="E38" s="321"/>
      <c r="L38" s="391"/>
      <c r="M38" s="394"/>
      <c r="N38" s="396" t="e">
        <f>VLOOKUP(M38,STARTOVKA,2,0)</f>
        <v>#N/A</v>
      </c>
      <c r="O38" s="398" t="e">
        <f>VLOOKUP(M38,STARTOVKA,3,0)</f>
        <v>#N/A</v>
      </c>
      <c r="P38" s="396" t="e">
        <f>VLOOKUP(M38,STARTOVKA,4,0)</f>
        <v>#N/A</v>
      </c>
      <c r="Q38" s="396" t="e">
        <f>VLOOKUP(M38,STARTOVKA,5,0)</f>
        <v>#N/A</v>
      </c>
      <c r="R38" s="388" t="e">
        <f>VLOOKUP(M38,$X$9:$Y$78,2,0)</f>
        <v>#N/A</v>
      </c>
      <c r="S38" s="390"/>
      <c r="V38" s="304">
        <f t="shared" si="1"/>
        <v>0</v>
      </c>
      <c r="W38" s="304">
        <f t="shared" si="2"/>
        <v>1500</v>
      </c>
      <c r="X38" s="312">
        <v>35</v>
      </c>
      <c r="Y38" s="306">
        <f t="shared" si="0"/>
        <v>0</v>
      </c>
    </row>
    <row r="39" spans="1:25" s="293" customFormat="1" ht="14.4" x14ac:dyDescent="0.3">
      <c r="E39" s="301"/>
      <c r="L39" s="393"/>
      <c r="M39" s="395"/>
      <c r="N39" s="397"/>
      <c r="O39" s="399"/>
      <c r="P39" s="397"/>
      <c r="Q39" s="397"/>
      <c r="R39" s="389"/>
      <c r="S39" s="389"/>
      <c r="V39" s="304">
        <f t="shared" si="1"/>
        <v>0</v>
      </c>
      <c r="W39" s="304">
        <f t="shared" si="2"/>
        <v>1000</v>
      </c>
      <c r="X39" s="312">
        <v>36</v>
      </c>
      <c r="Y39" s="306">
        <f t="shared" si="0"/>
        <v>0</v>
      </c>
    </row>
    <row r="40" spans="1:25" s="293" customFormat="1" ht="14.4" x14ac:dyDescent="0.3">
      <c r="H40" s="311"/>
      <c r="I40" s="311"/>
      <c r="J40" s="311"/>
      <c r="K40" s="311"/>
      <c r="L40" s="391"/>
      <c r="M40" s="391"/>
      <c r="N40" s="391"/>
      <c r="O40" s="391"/>
      <c r="P40" s="391"/>
      <c r="Q40" s="391"/>
      <c r="R40" s="391"/>
      <c r="S40" s="391"/>
      <c r="V40" s="304">
        <f t="shared" si="1"/>
        <v>0</v>
      </c>
      <c r="W40" s="304">
        <f t="shared" si="2"/>
        <v>900</v>
      </c>
      <c r="X40" s="312">
        <v>37</v>
      </c>
      <c r="Y40" s="306">
        <f t="shared" si="0"/>
        <v>0</v>
      </c>
    </row>
    <row r="41" spans="1:25" s="293" customFormat="1" ht="15" customHeight="1" x14ac:dyDescent="0.3">
      <c r="H41" s="311"/>
      <c r="I41" s="311"/>
      <c r="J41" s="323" t="s">
        <v>20</v>
      </c>
      <c r="K41" s="323">
        <f>SUM(K10,K18,D26)</f>
        <v>14800</v>
      </c>
      <c r="L41" s="392"/>
      <c r="M41" s="392"/>
      <c r="N41" s="392"/>
      <c r="O41" s="392"/>
      <c r="P41" s="392"/>
      <c r="Q41" s="392"/>
      <c r="R41" s="392"/>
      <c r="S41" s="392"/>
      <c r="V41" s="304">
        <f t="shared" si="1"/>
        <v>0</v>
      </c>
      <c r="W41" s="304">
        <f t="shared" si="2"/>
        <v>800</v>
      </c>
      <c r="X41" s="312">
        <v>38</v>
      </c>
      <c r="Y41" s="306">
        <f t="shared" si="0"/>
        <v>0</v>
      </c>
    </row>
    <row r="42" spans="1:25" s="293" customFormat="1" ht="12.75" customHeight="1" x14ac:dyDescent="0.3">
      <c r="H42" s="311"/>
      <c r="I42" s="311"/>
      <c r="J42" s="311"/>
      <c r="K42" s="311"/>
      <c r="L42" s="384"/>
      <c r="M42" s="385"/>
      <c r="N42" s="386"/>
      <c r="O42" s="387"/>
      <c r="P42" s="386"/>
      <c r="Q42" s="386"/>
      <c r="R42" s="382"/>
      <c r="S42" s="383"/>
      <c r="V42" s="304">
        <f t="shared" si="1"/>
        <v>0</v>
      </c>
      <c r="W42" s="304">
        <f t="shared" si="2"/>
        <v>700</v>
      </c>
      <c r="X42" s="312">
        <v>39</v>
      </c>
      <c r="Y42" s="306">
        <f t="shared" si="0"/>
        <v>0</v>
      </c>
    </row>
    <row r="43" spans="1:25" ht="12.75" customHeight="1" x14ac:dyDescent="0.3">
      <c r="L43" s="384"/>
      <c r="M43" s="385"/>
      <c r="N43" s="386"/>
      <c r="O43" s="387"/>
      <c r="P43" s="386"/>
      <c r="Q43" s="386"/>
      <c r="R43" s="383"/>
      <c r="S43" s="383"/>
      <c r="V43" s="304">
        <f t="shared" si="1"/>
        <v>0</v>
      </c>
      <c r="W43" s="304">
        <f t="shared" si="2"/>
        <v>600</v>
      </c>
      <c r="X43" s="312">
        <v>40</v>
      </c>
      <c r="Y43" s="306">
        <f t="shared" si="0"/>
        <v>0</v>
      </c>
    </row>
    <row r="44" spans="1:25" x14ac:dyDescent="0.3">
      <c r="L44" s="384"/>
      <c r="M44" s="384"/>
      <c r="N44" s="384"/>
      <c r="O44" s="384"/>
      <c r="P44" s="384"/>
      <c r="Q44" s="384"/>
      <c r="R44" s="384"/>
      <c r="S44" s="384"/>
      <c r="V44" s="304">
        <f t="shared" si="1"/>
        <v>0</v>
      </c>
      <c r="W44" s="304">
        <f t="shared" si="2"/>
        <v>500</v>
      </c>
      <c r="X44" s="312">
        <v>41</v>
      </c>
      <c r="Y44" s="306">
        <f t="shared" si="0"/>
        <v>0</v>
      </c>
    </row>
    <row r="45" spans="1:25" x14ac:dyDescent="0.3">
      <c r="L45" s="384"/>
      <c r="M45" s="384"/>
      <c r="N45" s="384"/>
      <c r="O45" s="384"/>
      <c r="P45" s="384"/>
      <c r="Q45" s="384"/>
      <c r="R45" s="384"/>
      <c r="S45" s="384"/>
      <c r="V45" s="304">
        <f>C34</f>
        <v>0</v>
      </c>
      <c r="W45" s="304">
        <f>B34</f>
        <v>500</v>
      </c>
      <c r="X45" s="312">
        <v>42</v>
      </c>
      <c r="Y45" s="306">
        <f t="shared" si="0"/>
        <v>0</v>
      </c>
    </row>
    <row r="46" spans="1:25" ht="101.25" customHeight="1" x14ac:dyDescent="0.3">
      <c r="V46" s="324">
        <f>C35</f>
        <v>0</v>
      </c>
      <c r="W46" s="325">
        <f>B35</f>
        <v>500</v>
      </c>
      <c r="X46" s="312">
        <v>43</v>
      </c>
      <c r="Y46" s="306">
        <f t="shared" si="0"/>
        <v>0</v>
      </c>
    </row>
    <row r="47" spans="1:25" x14ac:dyDescent="0.3">
      <c r="V47" s="304"/>
      <c r="W47" s="304"/>
      <c r="X47" s="312">
        <v>44</v>
      </c>
      <c r="Y47" s="306">
        <f t="shared" si="0"/>
        <v>0</v>
      </c>
    </row>
    <row r="48" spans="1:25" x14ac:dyDescent="0.3">
      <c r="U48" s="326"/>
      <c r="X48" s="312">
        <v>45</v>
      </c>
      <c r="Y48" s="306">
        <f t="shared" si="0"/>
        <v>0</v>
      </c>
    </row>
    <row r="49" spans="1:25" ht="6" customHeight="1" x14ac:dyDescent="0.3">
      <c r="A49" s="327"/>
      <c r="B49" s="327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U49" s="326"/>
      <c r="V49" s="324"/>
      <c r="W49" s="328"/>
      <c r="X49" s="312">
        <v>46</v>
      </c>
      <c r="Y49" s="306">
        <f t="shared" si="0"/>
        <v>0</v>
      </c>
    </row>
    <row r="50" spans="1:25" ht="9.75" customHeight="1" x14ac:dyDescent="0.3">
      <c r="A50" s="329"/>
      <c r="B50" s="329"/>
      <c r="C50" s="329"/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V50" s="328"/>
      <c r="W50" s="328"/>
      <c r="X50" s="312">
        <v>51</v>
      </c>
      <c r="Y50" s="306">
        <f t="shared" si="0"/>
        <v>0</v>
      </c>
    </row>
    <row r="51" spans="1:25" ht="6.75" customHeight="1" x14ac:dyDescent="0.3">
      <c r="A51" s="329"/>
      <c r="B51" s="329"/>
      <c r="C51" s="329"/>
      <c r="D51" s="329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329"/>
      <c r="P51" s="329"/>
      <c r="Q51" s="329"/>
      <c r="R51" s="329"/>
      <c r="S51" s="329"/>
      <c r="V51" s="328"/>
      <c r="W51" s="328"/>
      <c r="X51" s="312">
        <v>52</v>
      </c>
      <c r="Y51" s="306">
        <f t="shared" si="0"/>
        <v>0</v>
      </c>
    </row>
    <row r="52" spans="1:25" ht="6.75" customHeight="1" x14ac:dyDescent="0.3">
      <c r="A52" s="329"/>
      <c r="B52" s="329"/>
      <c r="C52" s="329"/>
      <c r="D52" s="329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V52" s="328"/>
      <c r="W52" s="328"/>
      <c r="X52" s="312">
        <v>53</v>
      </c>
      <c r="Y52" s="306">
        <f t="shared" si="0"/>
        <v>0</v>
      </c>
    </row>
    <row r="53" spans="1:25" ht="6.75" customHeight="1" x14ac:dyDescent="0.3">
      <c r="A53" s="329"/>
      <c r="B53" s="329"/>
      <c r="C53" s="329"/>
      <c r="D53" s="329"/>
      <c r="E53" s="329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V53" s="328"/>
      <c r="W53" s="328"/>
      <c r="X53" s="312">
        <v>54</v>
      </c>
      <c r="Y53" s="306">
        <f t="shared" si="0"/>
        <v>0</v>
      </c>
    </row>
    <row r="54" spans="1:25" ht="6.75" customHeight="1" x14ac:dyDescent="0.3">
      <c r="A54" s="329"/>
      <c r="B54" s="329"/>
      <c r="C54" s="329"/>
      <c r="D54" s="329"/>
      <c r="E54" s="329"/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29"/>
      <c r="S54" s="329"/>
      <c r="V54" s="328"/>
      <c r="W54" s="328"/>
      <c r="X54" s="312">
        <v>55</v>
      </c>
      <c r="Y54" s="306">
        <f t="shared" si="0"/>
        <v>0</v>
      </c>
    </row>
    <row r="55" spans="1:25" ht="6.75" customHeight="1" x14ac:dyDescent="0.3">
      <c r="A55" s="329"/>
      <c r="B55" s="329"/>
      <c r="C55" s="329"/>
      <c r="D55" s="329"/>
      <c r="E55" s="329"/>
      <c r="F55" s="329"/>
      <c r="G55" s="329"/>
      <c r="H55" s="329"/>
      <c r="I55" s="329"/>
      <c r="J55" s="329"/>
      <c r="K55" s="329"/>
      <c r="L55" s="329"/>
      <c r="M55" s="329"/>
      <c r="N55" s="329"/>
      <c r="O55" s="329"/>
      <c r="P55" s="329"/>
      <c r="Q55" s="329"/>
      <c r="R55" s="329"/>
      <c r="S55" s="329"/>
      <c r="V55" s="328"/>
      <c r="W55" s="328"/>
      <c r="X55" s="312">
        <v>56</v>
      </c>
      <c r="Y55" s="306">
        <f t="shared" si="0"/>
        <v>0</v>
      </c>
    </row>
    <row r="56" spans="1:25" ht="6.75" customHeight="1" x14ac:dyDescent="0.3">
      <c r="A56" s="329"/>
      <c r="B56" s="329"/>
      <c r="C56" s="329"/>
      <c r="D56" s="329"/>
      <c r="E56" s="329"/>
      <c r="F56" s="329"/>
      <c r="G56" s="329"/>
      <c r="H56" s="329"/>
      <c r="I56" s="329"/>
      <c r="J56" s="329"/>
      <c r="K56" s="329"/>
      <c r="L56" s="329"/>
      <c r="M56" s="329"/>
      <c r="N56" s="329"/>
      <c r="O56" s="329"/>
      <c r="P56" s="329"/>
      <c r="Q56" s="329"/>
      <c r="R56" s="329"/>
      <c r="S56" s="329"/>
      <c r="V56" s="328"/>
      <c r="W56" s="328"/>
      <c r="X56" s="312">
        <v>57</v>
      </c>
      <c r="Y56" s="306">
        <f t="shared" si="0"/>
        <v>0</v>
      </c>
    </row>
    <row r="57" spans="1:25" ht="6.75" customHeight="1" x14ac:dyDescent="0.3">
      <c r="A57" s="329"/>
      <c r="B57" s="329"/>
      <c r="C57" s="329"/>
      <c r="D57" s="329"/>
      <c r="E57" s="329"/>
      <c r="F57" s="329"/>
      <c r="G57" s="329"/>
      <c r="H57" s="329"/>
      <c r="I57" s="329"/>
      <c r="J57" s="329"/>
      <c r="K57" s="329"/>
      <c r="L57" s="329"/>
      <c r="M57" s="329"/>
      <c r="N57" s="329"/>
      <c r="O57" s="329"/>
      <c r="P57" s="329"/>
      <c r="Q57" s="329"/>
      <c r="R57" s="329"/>
      <c r="S57" s="329"/>
      <c r="V57" s="328"/>
      <c r="W57" s="328"/>
      <c r="X57" s="312">
        <v>58</v>
      </c>
      <c r="Y57" s="306">
        <f t="shared" si="0"/>
        <v>0</v>
      </c>
    </row>
    <row r="58" spans="1:25" ht="6.75" customHeight="1" x14ac:dyDescent="0.3">
      <c r="A58" s="329"/>
      <c r="B58" s="329"/>
      <c r="C58" s="329"/>
      <c r="D58" s="329"/>
      <c r="E58" s="329"/>
      <c r="F58" s="329"/>
      <c r="G58" s="329"/>
      <c r="H58" s="329"/>
      <c r="I58" s="329"/>
      <c r="J58" s="329"/>
      <c r="K58" s="329"/>
      <c r="L58" s="329"/>
      <c r="M58" s="329"/>
      <c r="N58" s="329"/>
      <c r="O58" s="329"/>
      <c r="P58" s="329"/>
      <c r="Q58" s="329"/>
      <c r="R58" s="329"/>
      <c r="S58" s="329"/>
      <c r="V58" s="328"/>
      <c r="W58" s="328"/>
      <c r="X58" s="312">
        <v>59</v>
      </c>
      <c r="Y58" s="306">
        <f t="shared" si="0"/>
        <v>0</v>
      </c>
    </row>
    <row r="59" spans="1:25" ht="6.75" customHeight="1" x14ac:dyDescent="0.3">
      <c r="A59" s="329"/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V59" s="328"/>
      <c r="W59" s="328"/>
      <c r="X59" s="312">
        <v>60</v>
      </c>
      <c r="Y59" s="306">
        <f t="shared" si="0"/>
        <v>0</v>
      </c>
    </row>
    <row r="60" spans="1:25" ht="6.75" customHeight="1" x14ac:dyDescent="0.3">
      <c r="A60" s="329"/>
      <c r="B60" s="329"/>
      <c r="C60" s="329"/>
      <c r="D60" s="329"/>
      <c r="E60" s="329"/>
      <c r="F60" s="329"/>
      <c r="G60" s="329"/>
      <c r="H60" s="329"/>
      <c r="I60" s="329"/>
      <c r="J60" s="329"/>
      <c r="K60" s="329"/>
      <c r="L60" s="329"/>
      <c r="M60" s="329"/>
      <c r="N60" s="329"/>
      <c r="O60" s="329"/>
      <c r="P60" s="329"/>
      <c r="Q60" s="329"/>
      <c r="R60" s="329"/>
      <c r="S60" s="329"/>
      <c r="V60" s="328"/>
      <c r="W60" s="328"/>
      <c r="X60" s="312">
        <v>61</v>
      </c>
      <c r="Y60" s="306">
        <f t="shared" si="0"/>
        <v>0</v>
      </c>
    </row>
    <row r="61" spans="1:25" ht="6.75" customHeight="1" x14ac:dyDescent="0.3">
      <c r="A61" s="329"/>
      <c r="B61" s="329"/>
      <c r="C61" s="329"/>
      <c r="D61" s="329"/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V61" s="328"/>
      <c r="W61" s="328"/>
      <c r="X61" s="312">
        <v>62</v>
      </c>
      <c r="Y61" s="306">
        <f t="shared" si="0"/>
        <v>0</v>
      </c>
    </row>
    <row r="62" spans="1:25" ht="6.75" customHeight="1" x14ac:dyDescent="0.3">
      <c r="A62" s="329"/>
      <c r="B62" s="329"/>
      <c r="C62" s="329"/>
      <c r="D62" s="329"/>
      <c r="E62" s="329"/>
      <c r="F62" s="329"/>
      <c r="G62" s="329"/>
      <c r="H62" s="329"/>
      <c r="I62" s="329"/>
      <c r="J62" s="329"/>
      <c r="K62" s="329"/>
      <c r="L62" s="329"/>
      <c r="M62" s="329"/>
      <c r="N62" s="329"/>
      <c r="O62" s="329"/>
      <c r="P62" s="329"/>
      <c r="Q62" s="329"/>
      <c r="R62" s="329"/>
      <c r="S62" s="329"/>
      <c r="V62" s="328"/>
      <c r="W62" s="328"/>
      <c r="X62" s="312">
        <v>63</v>
      </c>
      <c r="Y62" s="306">
        <f t="shared" si="0"/>
        <v>0</v>
      </c>
    </row>
    <row r="63" spans="1:25" ht="6.75" customHeight="1" x14ac:dyDescent="0.3">
      <c r="A63" s="329"/>
      <c r="B63" s="329"/>
      <c r="C63" s="329"/>
      <c r="D63" s="329"/>
      <c r="E63" s="329"/>
      <c r="F63" s="329"/>
      <c r="G63" s="329"/>
      <c r="H63" s="329"/>
      <c r="I63" s="329"/>
      <c r="J63" s="329"/>
      <c r="K63" s="329"/>
      <c r="L63" s="329"/>
      <c r="M63" s="329"/>
      <c r="N63" s="329"/>
      <c r="O63" s="329"/>
      <c r="P63" s="329"/>
      <c r="Q63" s="329"/>
      <c r="R63" s="329"/>
      <c r="S63" s="329"/>
      <c r="V63" s="328"/>
      <c r="W63" s="328"/>
      <c r="X63" s="312">
        <v>64</v>
      </c>
      <c r="Y63" s="306">
        <f t="shared" si="0"/>
        <v>0</v>
      </c>
    </row>
    <row r="64" spans="1:25" ht="6.75" customHeight="1" x14ac:dyDescent="0.3">
      <c r="A64" s="329"/>
      <c r="B64" s="329"/>
      <c r="C64" s="329"/>
      <c r="D64" s="329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V64" s="328"/>
      <c r="W64" s="328"/>
      <c r="X64" s="312">
        <v>65</v>
      </c>
      <c r="Y64" s="306">
        <f t="shared" si="0"/>
        <v>0</v>
      </c>
    </row>
    <row r="65" spans="1:25" ht="6.75" customHeight="1" x14ac:dyDescent="0.3">
      <c r="A65" s="329"/>
      <c r="B65" s="329"/>
      <c r="C65" s="329"/>
      <c r="D65" s="329"/>
      <c r="E65" s="329"/>
      <c r="F65" s="329"/>
      <c r="G65" s="329"/>
      <c r="H65" s="329"/>
      <c r="I65" s="329"/>
      <c r="J65" s="329"/>
      <c r="K65" s="329"/>
      <c r="L65" s="329"/>
      <c r="M65" s="329"/>
      <c r="N65" s="329"/>
      <c r="O65" s="329"/>
      <c r="P65" s="329"/>
      <c r="Q65" s="329"/>
      <c r="R65" s="329"/>
      <c r="S65" s="329"/>
      <c r="V65" s="328"/>
      <c r="W65" s="328"/>
      <c r="X65" s="312">
        <v>66</v>
      </c>
      <c r="Y65" s="306">
        <f t="shared" si="0"/>
        <v>0</v>
      </c>
    </row>
    <row r="66" spans="1:25" ht="6.75" customHeight="1" x14ac:dyDescent="0.3">
      <c r="A66" s="329"/>
      <c r="B66" s="329"/>
      <c r="C66" s="329"/>
      <c r="D66" s="329"/>
      <c r="E66" s="329"/>
      <c r="F66" s="329"/>
      <c r="G66" s="329"/>
      <c r="H66" s="329"/>
      <c r="I66" s="329"/>
      <c r="J66" s="329"/>
      <c r="K66" s="329"/>
      <c r="L66" s="329"/>
      <c r="M66" s="329"/>
      <c r="N66" s="329"/>
      <c r="O66" s="329"/>
      <c r="P66" s="329"/>
      <c r="Q66" s="329"/>
      <c r="R66" s="329"/>
      <c r="S66" s="329"/>
      <c r="V66" s="328"/>
      <c r="W66" s="328"/>
      <c r="X66" s="312">
        <v>67</v>
      </c>
      <c r="Y66" s="306">
        <f t="shared" si="0"/>
        <v>0</v>
      </c>
    </row>
    <row r="67" spans="1:25" ht="6.75" customHeight="1" x14ac:dyDescent="0.3">
      <c r="A67" s="329"/>
      <c r="B67" s="329"/>
      <c r="C67" s="329"/>
      <c r="D67" s="329"/>
      <c r="E67" s="329"/>
      <c r="F67" s="329"/>
      <c r="G67" s="329"/>
      <c r="H67" s="329"/>
      <c r="I67" s="329"/>
      <c r="J67" s="329"/>
      <c r="K67" s="329"/>
      <c r="L67" s="329"/>
      <c r="M67" s="329"/>
      <c r="N67" s="329"/>
      <c r="O67" s="329"/>
      <c r="P67" s="329"/>
      <c r="Q67" s="329"/>
      <c r="R67" s="329"/>
      <c r="S67" s="329"/>
      <c r="V67" s="328"/>
      <c r="W67" s="328"/>
      <c r="X67" s="312">
        <v>68</v>
      </c>
      <c r="Y67" s="306">
        <f t="shared" si="0"/>
        <v>0</v>
      </c>
    </row>
    <row r="68" spans="1:25" ht="6" customHeight="1" x14ac:dyDescent="0.3">
      <c r="A68" s="327"/>
      <c r="B68" s="327"/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7"/>
      <c r="Q68" s="327"/>
      <c r="R68" s="327"/>
      <c r="S68" s="327"/>
      <c r="V68" s="328"/>
      <c r="W68" s="328"/>
      <c r="X68" s="312">
        <v>69</v>
      </c>
      <c r="Y68" s="306">
        <f t="shared" si="0"/>
        <v>0</v>
      </c>
    </row>
    <row r="69" spans="1:25" ht="11.4" customHeight="1" x14ac:dyDescent="0.3">
      <c r="A69" s="381" t="s">
        <v>40</v>
      </c>
      <c r="B69" s="381"/>
      <c r="C69" s="381"/>
      <c r="D69" s="381"/>
      <c r="E69" s="381"/>
      <c r="F69" s="381"/>
      <c r="G69" s="381"/>
      <c r="H69" s="381"/>
      <c r="I69" s="381"/>
      <c r="J69" s="381"/>
      <c r="K69" s="381"/>
      <c r="L69" s="381" t="s">
        <v>40</v>
      </c>
      <c r="M69" s="381"/>
      <c r="N69" s="381"/>
      <c r="O69" s="381"/>
      <c r="P69" s="381"/>
      <c r="Q69" s="381"/>
      <c r="R69" s="381"/>
      <c r="S69" s="381"/>
      <c r="V69" s="328"/>
      <c r="W69" s="328"/>
      <c r="X69" s="312">
        <v>71</v>
      </c>
      <c r="Y69" s="306">
        <f t="shared" si="0"/>
        <v>0</v>
      </c>
    </row>
    <row r="70" spans="1:25" x14ac:dyDescent="0.3">
      <c r="V70" s="328"/>
      <c r="W70" s="328"/>
      <c r="X70" s="312">
        <v>72</v>
      </c>
      <c r="Y70" s="306">
        <f t="shared" si="0"/>
        <v>0</v>
      </c>
    </row>
    <row r="71" spans="1:25" x14ac:dyDescent="0.3">
      <c r="V71" s="328"/>
      <c r="W71" s="328"/>
      <c r="X71" s="312">
        <v>73</v>
      </c>
      <c r="Y71" s="306">
        <f t="shared" si="0"/>
        <v>0</v>
      </c>
    </row>
    <row r="72" spans="1:25" x14ac:dyDescent="0.3">
      <c r="V72" s="328"/>
      <c r="W72" s="328"/>
      <c r="X72" s="312">
        <v>74</v>
      </c>
      <c r="Y72" s="306">
        <f t="shared" si="0"/>
        <v>0</v>
      </c>
    </row>
    <row r="73" spans="1:25" x14ac:dyDescent="0.3">
      <c r="C73" s="330"/>
      <c r="V73" s="328"/>
      <c r="W73" s="328"/>
      <c r="X73" s="312">
        <v>75</v>
      </c>
      <c r="Y73" s="306">
        <f t="shared" ref="Y73:Y136" si="3">SUMIF($V$9:$V$47,$X$9:$X$138,$W$9:$W$47)</f>
        <v>0</v>
      </c>
    </row>
    <row r="74" spans="1:25" x14ac:dyDescent="0.3">
      <c r="C74" s="330"/>
      <c r="V74" s="328"/>
      <c r="W74" s="328"/>
      <c r="X74" s="312">
        <v>76</v>
      </c>
      <c r="Y74" s="306">
        <f t="shared" si="3"/>
        <v>0</v>
      </c>
    </row>
    <row r="75" spans="1:25" x14ac:dyDescent="0.3">
      <c r="C75" s="330"/>
      <c r="V75" s="328"/>
      <c r="W75" s="328"/>
      <c r="X75" s="312">
        <v>77</v>
      </c>
      <c r="Y75" s="306">
        <f t="shared" si="3"/>
        <v>0</v>
      </c>
    </row>
    <row r="76" spans="1:25" x14ac:dyDescent="0.3">
      <c r="V76" s="328"/>
      <c r="W76" s="328"/>
      <c r="X76" s="312">
        <v>78</v>
      </c>
      <c r="Y76" s="306">
        <f t="shared" si="3"/>
        <v>0</v>
      </c>
    </row>
    <row r="77" spans="1:25" x14ac:dyDescent="0.3">
      <c r="V77" s="328"/>
      <c r="W77" s="328"/>
      <c r="X77" s="312">
        <v>79</v>
      </c>
      <c r="Y77" s="306">
        <f t="shared" si="3"/>
        <v>0</v>
      </c>
    </row>
    <row r="78" spans="1:25" x14ac:dyDescent="0.3">
      <c r="V78" s="328"/>
      <c r="W78" s="328"/>
      <c r="X78" s="312">
        <v>81</v>
      </c>
      <c r="Y78" s="306">
        <f t="shared" si="3"/>
        <v>0</v>
      </c>
    </row>
    <row r="79" spans="1:25" x14ac:dyDescent="0.3">
      <c r="X79" s="331">
        <v>82</v>
      </c>
      <c r="Y79" s="306">
        <f t="shared" si="3"/>
        <v>0</v>
      </c>
    </row>
    <row r="80" spans="1:25" x14ac:dyDescent="0.3">
      <c r="X80" s="331">
        <v>83</v>
      </c>
      <c r="Y80" s="306">
        <f t="shared" si="3"/>
        <v>0</v>
      </c>
    </row>
    <row r="81" spans="24:25" x14ac:dyDescent="0.3">
      <c r="X81" s="331">
        <v>84</v>
      </c>
      <c r="Y81" s="306">
        <f t="shared" si="3"/>
        <v>0</v>
      </c>
    </row>
    <row r="82" spans="24:25" x14ac:dyDescent="0.3">
      <c r="X82" s="331">
        <v>85</v>
      </c>
      <c r="Y82" s="306">
        <f t="shared" si="3"/>
        <v>0</v>
      </c>
    </row>
    <row r="83" spans="24:25" x14ac:dyDescent="0.3">
      <c r="X83" s="331">
        <v>86</v>
      </c>
      <c r="Y83" s="306">
        <f t="shared" si="3"/>
        <v>0</v>
      </c>
    </row>
    <row r="84" spans="24:25" x14ac:dyDescent="0.3">
      <c r="X84" s="331">
        <v>91</v>
      </c>
      <c r="Y84" s="306">
        <f t="shared" si="3"/>
        <v>0</v>
      </c>
    </row>
    <row r="85" spans="24:25" x14ac:dyDescent="0.3">
      <c r="X85" s="331">
        <v>92</v>
      </c>
      <c r="Y85" s="306">
        <f t="shared" si="3"/>
        <v>0</v>
      </c>
    </row>
    <row r="86" spans="24:25" x14ac:dyDescent="0.3">
      <c r="X86" s="331">
        <v>93</v>
      </c>
      <c r="Y86" s="306">
        <f t="shared" si="3"/>
        <v>0</v>
      </c>
    </row>
    <row r="87" spans="24:25" x14ac:dyDescent="0.3">
      <c r="X87" s="331">
        <v>94</v>
      </c>
      <c r="Y87" s="306">
        <f t="shared" si="3"/>
        <v>0</v>
      </c>
    </row>
    <row r="88" spans="24:25" x14ac:dyDescent="0.3">
      <c r="X88" s="331">
        <v>95</v>
      </c>
      <c r="Y88" s="306">
        <f t="shared" si="3"/>
        <v>0</v>
      </c>
    </row>
    <row r="89" spans="24:25" x14ac:dyDescent="0.3">
      <c r="X89" s="331">
        <v>96</v>
      </c>
      <c r="Y89" s="306">
        <f t="shared" si="3"/>
        <v>0</v>
      </c>
    </row>
    <row r="90" spans="24:25" x14ac:dyDescent="0.3">
      <c r="X90" s="331">
        <v>101</v>
      </c>
      <c r="Y90" s="306">
        <f t="shared" si="3"/>
        <v>0</v>
      </c>
    </row>
    <row r="91" spans="24:25" x14ac:dyDescent="0.3">
      <c r="X91" s="331">
        <v>102</v>
      </c>
      <c r="Y91" s="306">
        <f t="shared" si="3"/>
        <v>0</v>
      </c>
    </row>
    <row r="92" spans="24:25" x14ac:dyDescent="0.3">
      <c r="X92" s="331">
        <v>103</v>
      </c>
      <c r="Y92" s="306">
        <f t="shared" si="3"/>
        <v>0</v>
      </c>
    </row>
    <row r="93" spans="24:25" x14ac:dyDescent="0.3">
      <c r="X93" s="332">
        <v>104</v>
      </c>
      <c r="Y93" s="306">
        <f t="shared" si="3"/>
        <v>0</v>
      </c>
    </row>
    <row r="94" spans="24:25" x14ac:dyDescent="0.3">
      <c r="X94" s="332">
        <v>105</v>
      </c>
      <c r="Y94" s="306">
        <f t="shared" si="3"/>
        <v>0</v>
      </c>
    </row>
    <row r="95" spans="24:25" x14ac:dyDescent="0.3">
      <c r="X95" s="332">
        <v>106</v>
      </c>
      <c r="Y95" s="306">
        <f t="shared" si="3"/>
        <v>0</v>
      </c>
    </row>
    <row r="96" spans="24:25" x14ac:dyDescent="0.3">
      <c r="X96" s="332">
        <v>111</v>
      </c>
      <c r="Y96" s="306">
        <f t="shared" si="3"/>
        <v>0</v>
      </c>
    </row>
    <row r="97" spans="24:25" x14ac:dyDescent="0.3">
      <c r="X97" s="332">
        <v>112</v>
      </c>
      <c r="Y97" s="306">
        <f t="shared" si="3"/>
        <v>0</v>
      </c>
    </row>
    <row r="98" spans="24:25" x14ac:dyDescent="0.3">
      <c r="X98" s="332">
        <v>113</v>
      </c>
      <c r="Y98" s="306">
        <f t="shared" si="3"/>
        <v>0</v>
      </c>
    </row>
    <row r="99" spans="24:25" x14ac:dyDescent="0.3">
      <c r="X99" s="332">
        <v>114</v>
      </c>
      <c r="Y99" s="306">
        <f t="shared" si="3"/>
        <v>0</v>
      </c>
    </row>
    <row r="100" spans="24:25" x14ac:dyDescent="0.3">
      <c r="X100" s="332">
        <v>115</v>
      </c>
      <c r="Y100" s="306">
        <f t="shared" si="3"/>
        <v>0</v>
      </c>
    </row>
    <row r="101" spans="24:25" x14ac:dyDescent="0.3">
      <c r="X101" s="332">
        <v>116</v>
      </c>
      <c r="Y101" s="306">
        <f t="shared" si="3"/>
        <v>0</v>
      </c>
    </row>
    <row r="102" spans="24:25" x14ac:dyDescent="0.3">
      <c r="X102" s="332">
        <v>117</v>
      </c>
      <c r="Y102" s="306">
        <f t="shared" si="3"/>
        <v>0</v>
      </c>
    </row>
    <row r="103" spans="24:25" x14ac:dyDescent="0.3">
      <c r="X103" s="332">
        <v>118</v>
      </c>
      <c r="Y103" s="306">
        <f t="shared" si="3"/>
        <v>0</v>
      </c>
    </row>
    <row r="104" spans="24:25" x14ac:dyDescent="0.3">
      <c r="X104" s="332">
        <v>119</v>
      </c>
      <c r="Y104" s="306">
        <f t="shared" si="3"/>
        <v>0</v>
      </c>
    </row>
    <row r="105" spans="24:25" x14ac:dyDescent="0.3">
      <c r="X105" s="332">
        <v>121</v>
      </c>
      <c r="Y105" s="306">
        <f t="shared" si="3"/>
        <v>0</v>
      </c>
    </row>
    <row r="106" spans="24:25" x14ac:dyDescent="0.3">
      <c r="X106" s="332">
        <v>122</v>
      </c>
      <c r="Y106" s="306">
        <f t="shared" si="3"/>
        <v>0</v>
      </c>
    </row>
    <row r="107" spans="24:25" x14ac:dyDescent="0.3">
      <c r="X107" s="332">
        <v>123</v>
      </c>
      <c r="Y107" s="306">
        <f t="shared" si="3"/>
        <v>0</v>
      </c>
    </row>
    <row r="108" spans="24:25" x14ac:dyDescent="0.3">
      <c r="X108" s="332">
        <v>124</v>
      </c>
      <c r="Y108" s="306">
        <f t="shared" si="3"/>
        <v>0</v>
      </c>
    </row>
    <row r="109" spans="24:25" x14ac:dyDescent="0.3">
      <c r="X109" s="332">
        <v>125</v>
      </c>
      <c r="Y109" s="306">
        <f t="shared" si="3"/>
        <v>0</v>
      </c>
    </row>
    <row r="110" spans="24:25" x14ac:dyDescent="0.3">
      <c r="X110" s="332">
        <v>126</v>
      </c>
      <c r="Y110" s="306">
        <f t="shared" si="3"/>
        <v>0</v>
      </c>
    </row>
    <row r="111" spans="24:25" x14ac:dyDescent="0.3">
      <c r="X111" s="332">
        <v>127</v>
      </c>
      <c r="Y111" s="306">
        <f t="shared" si="3"/>
        <v>0</v>
      </c>
    </row>
    <row r="112" spans="24:25" x14ac:dyDescent="0.3">
      <c r="X112" s="332">
        <v>131</v>
      </c>
      <c r="Y112" s="306">
        <f t="shared" si="3"/>
        <v>0</v>
      </c>
    </row>
    <row r="113" spans="24:25" x14ac:dyDescent="0.3">
      <c r="X113" s="332">
        <v>132</v>
      </c>
      <c r="Y113" s="306">
        <f t="shared" si="3"/>
        <v>0</v>
      </c>
    </row>
    <row r="114" spans="24:25" x14ac:dyDescent="0.3">
      <c r="X114" s="332">
        <v>133</v>
      </c>
      <c r="Y114" s="306">
        <f t="shared" si="3"/>
        <v>0</v>
      </c>
    </row>
    <row r="115" spans="24:25" x14ac:dyDescent="0.3">
      <c r="X115" s="332">
        <v>134</v>
      </c>
      <c r="Y115" s="306">
        <f t="shared" si="3"/>
        <v>0</v>
      </c>
    </row>
    <row r="116" spans="24:25" x14ac:dyDescent="0.3">
      <c r="X116" s="332">
        <v>135</v>
      </c>
      <c r="Y116" s="306">
        <f t="shared" si="3"/>
        <v>0</v>
      </c>
    </row>
    <row r="117" spans="24:25" x14ac:dyDescent="0.3">
      <c r="X117" s="332">
        <v>136</v>
      </c>
      <c r="Y117" s="306">
        <f t="shared" si="3"/>
        <v>0</v>
      </c>
    </row>
    <row r="118" spans="24:25" x14ac:dyDescent="0.3">
      <c r="X118" s="332">
        <v>137</v>
      </c>
      <c r="Y118" s="306">
        <f t="shared" si="3"/>
        <v>0</v>
      </c>
    </row>
    <row r="119" spans="24:25" x14ac:dyDescent="0.3">
      <c r="X119" s="332">
        <v>138</v>
      </c>
      <c r="Y119" s="306">
        <f t="shared" si="3"/>
        <v>0</v>
      </c>
    </row>
    <row r="120" spans="24:25" x14ac:dyDescent="0.3">
      <c r="X120" s="332">
        <v>139</v>
      </c>
      <c r="Y120" s="306">
        <f t="shared" si="3"/>
        <v>0</v>
      </c>
    </row>
    <row r="121" spans="24:25" x14ac:dyDescent="0.3">
      <c r="X121" s="332">
        <v>140</v>
      </c>
      <c r="Y121" s="306">
        <f t="shared" si="3"/>
        <v>0</v>
      </c>
    </row>
    <row r="122" spans="24:25" x14ac:dyDescent="0.3">
      <c r="X122" s="332">
        <v>141</v>
      </c>
      <c r="Y122" s="306">
        <f t="shared" si="3"/>
        <v>0</v>
      </c>
    </row>
    <row r="123" spans="24:25" x14ac:dyDescent="0.3">
      <c r="X123" s="332">
        <v>142</v>
      </c>
      <c r="Y123" s="306">
        <f t="shared" si="3"/>
        <v>0</v>
      </c>
    </row>
    <row r="124" spans="24:25" x14ac:dyDescent="0.3">
      <c r="X124" s="332">
        <v>143</v>
      </c>
      <c r="Y124" s="306">
        <f t="shared" si="3"/>
        <v>0</v>
      </c>
    </row>
    <row r="125" spans="24:25" x14ac:dyDescent="0.3">
      <c r="X125" s="332">
        <v>144</v>
      </c>
      <c r="Y125" s="306">
        <f t="shared" si="3"/>
        <v>0</v>
      </c>
    </row>
    <row r="126" spans="24:25" x14ac:dyDescent="0.3">
      <c r="X126" s="332">
        <v>145</v>
      </c>
      <c r="Y126" s="306">
        <f t="shared" si="3"/>
        <v>0</v>
      </c>
    </row>
    <row r="127" spans="24:25" x14ac:dyDescent="0.3">
      <c r="X127" s="332">
        <v>146</v>
      </c>
      <c r="Y127" s="306">
        <f t="shared" si="3"/>
        <v>0</v>
      </c>
    </row>
    <row r="128" spans="24:25" x14ac:dyDescent="0.3">
      <c r="X128" s="332">
        <v>147</v>
      </c>
      <c r="Y128" s="306">
        <f t="shared" si="3"/>
        <v>0</v>
      </c>
    </row>
    <row r="129" spans="24:25" x14ac:dyDescent="0.3">
      <c r="X129" s="332">
        <v>148</v>
      </c>
      <c r="Y129" s="306">
        <f t="shared" si="3"/>
        <v>0</v>
      </c>
    </row>
    <row r="130" spans="24:25" x14ac:dyDescent="0.3">
      <c r="X130" s="332">
        <v>149</v>
      </c>
      <c r="Y130" s="306">
        <f t="shared" si="3"/>
        <v>0</v>
      </c>
    </row>
    <row r="131" spans="24:25" x14ac:dyDescent="0.3">
      <c r="X131" s="332">
        <v>150</v>
      </c>
      <c r="Y131" s="306">
        <f t="shared" si="3"/>
        <v>0</v>
      </c>
    </row>
    <row r="132" spans="24:25" x14ac:dyDescent="0.3">
      <c r="X132" s="332">
        <v>151</v>
      </c>
      <c r="Y132" s="306">
        <f t="shared" si="3"/>
        <v>0</v>
      </c>
    </row>
    <row r="133" spans="24:25" x14ac:dyDescent="0.3">
      <c r="X133" s="332">
        <v>152</v>
      </c>
      <c r="Y133" s="306">
        <f t="shared" si="3"/>
        <v>0</v>
      </c>
    </row>
    <row r="134" spans="24:25" x14ac:dyDescent="0.3">
      <c r="X134" s="332">
        <v>153</v>
      </c>
      <c r="Y134" s="306">
        <f t="shared" si="3"/>
        <v>0</v>
      </c>
    </row>
    <row r="135" spans="24:25" x14ac:dyDescent="0.3">
      <c r="X135" s="332">
        <v>154</v>
      </c>
      <c r="Y135" s="306">
        <f t="shared" si="3"/>
        <v>0</v>
      </c>
    </row>
    <row r="136" spans="24:25" x14ac:dyDescent="0.3">
      <c r="X136" s="332">
        <v>155</v>
      </c>
      <c r="Y136" s="306">
        <f t="shared" si="3"/>
        <v>0</v>
      </c>
    </row>
    <row r="137" spans="24:25" x14ac:dyDescent="0.3">
      <c r="X137" s="332">
        <v>156</v>
      </c>
      <c r="Y137" s="306">
        <f t="shared" ref="Y137:Y156" si="4">SUMIF($V$9:$V$47,$X$9:$X$138,$W$9:$W$47)</f>
        <v>0</v>
      </c>
    </row>
    <row r="138" spans="24:25" x14ac:dyDescent="0.3">
      <c r="X138" s="332">
        <v>157</v>
      </c>
      <c r="Y138" s="306">
        <f t="shared" si="4"/>
        <v>0</v>
      </c>
    </row>
    <row r="139" spans="24:25" x14ac:dyDescent="0.3">
      <c r="X139" s="292">
        <v>158</v>
      </c>
      <c r="Y139" s="306">
        <f t="shared" si="4"/>
        <v>0</v>
      </c>
    </row>
    <row r="140" spans="24:25" x14ac:dyDescent="0.3">
      <c r="X140" s="292">
        <v>159</v>
      </c>
      <c r="Y140" s="306">
        <f t="shared" si="4"/>
        <v>0</v>
      </c>
    </row>
    <row r="141" spans="24:25" x14ac:dyDescent="0.3">
      <c r="X141" s="292">
        <v>160</v>
      </c>
      <c r="Y141" s="306">
        <f t="shared" si="4"/>
        <v>0</v>
      </c>
    </row>
    <row r="142" spans="24:25" x14ac:dyDescent="0.3">
      <c r="X142" s="292">
        <v>161</v>
      </c>
      <c r="Y142" s="306">
        <f t="shared" si="4"/>
        <v>0</v>
      </c>
    </row>
    <row r="143" spans="24:25" x14ac:dyDescent="0.3">
      <c r="X143" s="292">
        <v>162</v>
      </c>
      <c r="Y143" s="306">
        <f t="shared" si="4"/>
        <v>0</v>
      </c>
    </row>
    <row r="144" spans="24:25" x14ac:dyDescent="0.3">
      <c r="X144" s="292">
        <v>163</v>
      </c>
      <c r="Y144" s="306">
        <f t="shared" si="4"/>
        <v>0</v>
      </c>
    </row>
    <row r="145" spans="24:25" x14ac:dyDescent="0.3">
      <c r="X145" s="292">
        <v>164</v>
      </c>
      <c r="Y145" s="306">
        <f t="shared" si="4"/>
        <v>0</v>
      </c>
    </row>
    <row r="146" spans="24:25" x14ac:dyDescent="0.3">
      <c r="X146" s="292">
        <v>165</v>
      </c>
      <c r="Y146" s="306">
        <f t="shared" si="4"/>
        <v>0</v>
      </c>
    </row>
    <row r="147" spans="24:25" x14ac:dyDescent="0.3">
      <c r="X147" s="292">
        <v>166</v>
      </c>
      <c r="Y147" s="306">
        <f t="shared" si="4"/>
        <v>0</v>
      </c>
    </row>
    <row r="148" spans="24:25" x14ac:dyDescent="0.3">
      <c r="X148" s="292">
        <v>167</v>
      </c>
      <c r="Y148" s="306">
        <f t="shared" si="4"/>
        <v>0</v>
      </c>
    </row>
    <row r="149" spans="24:25" x14ac:dyDescent="0.3">
      <c r="X149" s="292">
        <v>191</v>
      </c>
      <c r="Y149" s="306">
        <f t="shared" si="4"/>
        <v>0</v>
      </c>
    </row>
    <row r="150" spans="24:25" x14ac:dyDescent="0.3">
      <c r="X150" s="292">
        <v>192</v>
      </c>
      <c r="Y150" s="306">
        <f t="shared" si="4"/>
        <v>0</v>
      </c>
    </row>
    <row r="151" spans="24:25" x14ac:dyDescent="0.3">
      <c r="X151" s="292">
        <v>193</v>
      </c>
      <c r="Y151" s="306">
        <f t="shared" si="4"/>
        <v>0</v>
      </c>
    </row>
    <row r="152" spans="24:25" x14ac:dyDescent="0.3">
      <c r="X152" s="292">
        <v>194</v>
      </c>
      <c r="Y152" s="306">
        <f t="shared" si="4"/>
        <v>0</v>
      </c>
    </row>
    <row r="153" spans="24:25" x14ac:dyDescent="0.3">
      <c r="X153" s="292">
        <v>195</v>
      </c>
      <c r="Y153" s="306">
        <f t="shared" si="4"/>
        <v>0</v>
      </c>
    </row>
    <row r="154" spans="24:25" x14ac:dyDescent="0.3">
      <c r="X154" s="292">
        <v>196</v>
      </c>
      <c r="Y154" s="306">
        <f t="shared" si="4"/>
        <v>0</v>
      </c>
    </row>
    <row r="155" spans="24:25" x14ac:dyDescent="0.3">
      <c r="X155" s="292">
        <v>197</v>
      </c>
      <c r="Y155" s="306">
        <f t="shared" si="4"/>
        <v>0</v>
      </c>
    </row>
    <row r="156" spans="24:25" x14ac:dyDescent="0.3">
      <c r="X156" s="292">
        <v>198</v>
      </c>
      <c r="Y156" s="306">
        <f t="shared" si="4"/>
        <v>0</v>
      </c>
    </row>
    <row r="157" spans="24:25" x14ac:dyDescent="0.3">
      <c r="Y157" s="306"/>
    </row>
    <row r="158" spans="24:25" x14ac:dyDescent="0.3">
      <c r="Y158" s="306"/>
    </row>
    <row r="159" spans="24:25" x14ac:dyDescent="0.3">
      <c r="Y159" s="306"/>
    </row>
    <row r="160" spans="24:25" x14ac:dyDescent="0.3">
      <c r="Y160" s="306"/>
    </row>
    <row r="161" spans="25:25" x14ac:dyDescent="0.3">
      <c r="Y161" s="306"/>
    </row>
    <row r="162" spans="25:25" x14ac:dyDescent="0.3">
      <c r="Y162" s="306"/>
    </row>
    <row r="163" spans="25:25" x14ac:dyDescent="0.3">
      <c r="Y163" s="306"/>
    </row>
  </sheetData>
  <mergeCells count="152">
    <mergeCell ref="A1:K1"/>
    <mergeCell ref="L1:S1"/>
    <mergeCell ref="A2:K2"/>
    <mergeCell ref="L2:S2"/>
    <mergeCell ref="B3:F3"/>
    <mergeCell ref="M3:Q3"/>
    <mergeCell ref="A5:K5"/>
    <mergeCell ref="L5:S5"/>
    <mergeCell ref="L10:S10"/>
    <mergeCell ref="L12:L13"/>
    <mergeCell ref="M12:M13"/>
    <mergeCell ref="N12:N13"/>
    <mergeCell ref="O12:O13"/>
    <mergeCell ref="P12:P13"/>
    <mergeCell ref="Q12:Q13"/>
    <mergeCell ref="R12:R13"/>
    <mergeCell ref="A15:K15"/>
    <mergeCell ref="B16:H16"/>
    <mergeCell ref="L16:L17"/>
    <mergeCell ref="M16:M17"/>
    <mergeCell ref="N16:N17"/>
    <mergeCell ref="O16:O17"/>
    <mergeCell ref="S12:S13"/>
    <mergeCell ref="L14:L15"/>
    <mergeCell ref="M14:M15"/>
    <mergeCell ref="N14:N15"/>
    <mergeCell ref="O14:O15"/>
    <mergeCell ref="P14:P15"/>
    <mergeCell ref="Q14:Q15"/>
    <mergeCell ref="R14:R15"/>
    <mergeCell ref="S14:S15"/>
    <mergeCell ref="P16:P17"/>
    <mergeCell ref="Q16:Q17"/>
    <mergeCell ref="R16:R17"/>
    <mergeCell ref="S16:S17"/>
    <mergeCell ref="K18:K21"/>
    <mergeCell ref="L18:L19"/>
    <mergeCell ref="M18:M19"/>
    <mergeCell ref="N18:N19"/>
    <mergeCell ref="O18:O19"/>
    <mergeCell ref="P18:P19"/>
    <mergeCell ref="Q18:Q19"/>
    <mergeCell ref="R18:R19"/>
    <mergeCell ref="S18:S19"/>
    <mergeCell ref="L20:L21"/>
    <mergeCell ref="M20:M21"/>
    <mergeCell ref="N20:N21"/>
    <mergeCell ref="O20:O21"/>
    <mergeCell ref="P20:P21"/>
    <mergeCell ref="Q20:Q21"/>
    <mergeCell ref="R20:R21"/>
    <mergeCell ref="S20:S21"/>
    <mergeCell ref="L22:L23"/>
    <mergeCell ref="M22:M23"/>
    <mergeCell ref="N22:N23"/>
    <mergeCell ref="O22:O23"/>
    <mergeCell ref="P22:P23"/>
    <mergeCell ref="Q22:Q23"/>
    <mergeCell ref="R22:R23"/>
    <mergeCell ref="S22:S23"/>
    <mergeCell ref="Q24:Q25"/>
    <mergeCell ref="R24:R25"/>
    <mergeCell ref="S24:S25"/>
    <mergeCell ref="D26:D35"/>
    <mergeCell ref="L26:L27"/>
    <mergeCell ref="M26:M27"/>
    <mergeCell ref="N26:N27"/>
    <mergeCell ref="O26:O27"/>
    <mergeCell ref="P26:P27"/>
    <mergeCell ref="Q26:Q27"/>
    <mergeCell ref="A24:D24"/>
    <mergeCell ref="L24:L25"/>
    <mergeCell ref="M24:M25"/>
    <mergeCell ref="N24:N25"/>
    <mergeCell ref="O24:O25"/>
    <mergeCell ref="P24:P25"/>
    <mergeCell ref="R26:R27"/>
    <mergeCell ref="S26:S27"/>
    <mergeCell ref="L28:L29"/>
    <mergeCell ref="M28:M29"/>
    <mergeCell ref="N28:N29"/>
    <mergeCell ref="O28:O29"/>
    <mergeCell ref="P28:P29"/>
    <mergeCell ref="Q28:Q29"/>
    <mergeCell ref="R28:R29"/>
    <mergeCell ref="S28:S29"/>
    <mergeCell ref="R30:R31"/>
    <mergeCell ref="S30:S31"/>
    <mergeCell ref="L32:L33"/>
    <mergeCell ref="M32:M33"/>
    <mergeCell ref="N32:N33"/>
    <mergeCell ref="O32:O33"/>
    <mergeCell ref="P32:P33"/>
    <mergeCell ref="Q32:Q33"/>
    <mergeCell ref="R32:R33"/>
    <mergeCell ref="S32:S33"/>
    <mergeCell ref="L30:L31"/>
    <mergeCell ref="M30:M31"/>
    <mergeCell ref="N30:N31"/>
    <mergeCell ref="O30:O31"/>
    <mergeCell ref="P30:P31"/>
    <mergeCell ref="Q30:Q31"/>
    <mergeCell ref="R34:R35"/>
    <mergeCell ref="S34:S35"/>
    <mergeCell ref="L36:L37"/>
    <mergeCell ref="M36:M37"/>
    <mergeCell ref="N36:N37"/>
    <mergeCell ref="O36:O37"/>
    <mergeCell ref="P36:P37"/>
    <mergeCell ref="Q36:Q37"/>
    <mergeCell ref="R36:R37"/>
    <mergeCell ref="S36:S37"/>
    <mergeCell ref="L34:L35"/>
    <mergeCell ref="M34:M35"/>
    <mergeCell ref="N34:N35"/>
    <mergeCell ref="O34:O35"/>
    <mergeCell ref="P34:P35"/>
    <mergeCell ref="Q34:Q35"/>
    <mergeCell ref="R38:R39"/>
    <mergeCell ref="S38:S39"/>
    <mergeCell ref="L40:L41"/>
    <mergeCell ref="M40:M41"/>
    <mergeCell ref="N40:N41"/>
    <mergeCell ref="O40:O41"/>
    <mergeCell ref="P40:P41"/>
    <mergeCell ref="Q40:Q41"/>
    <mergeCell ref="R40:R41"/>
    <mergeCell ref="S40:S41"/>
    <mergeCell ref="L38:L39"/>
    <mergeCell ref="M38:M39"/>
    <mergeCell ref="N38:N39"/>
    <mergeCell ref="O38:O39"/>
    <mergeCell ref="P38:P39"/>
    <mergeCell ref="Q38:Q39"/>
    <mergeCell ref="A69:K69"/>
    <mergeCell ref="L69:S69"/>
    <mergeCell ref="R42:R43"/>
    <mergeCell ref="S42:S43"/>
    <mergeCell ref="L44:L45"/>
    <mergeCell ref="M44:M45"/>
    <mergeCell ref="N44:N45"/>
    <mergeCell ref="O44:O45"/>
    <mergeCell ref="P44:P45"/>
    <mergeCell ref="Q44:Q45"/>
    <mergeCell ref="R44:R45"/>
    <mergeCell ref="S44:S45"/>
    <mergeCell ref="L42:L43"/>
    <mergeCell ref="M42:M43"/>
    <mergeCell ref="N42:N43"/>
    <mergeCell ref="O42:O43"/>
    <mergeCell ref="P42:P43"/>
    <mergeCell ref="Q42:Q43"/>
  </mergeCells>
  <pageMargins left="0.54" right="0.32" top="0.31496062992125984" bottom="0.31496062992125984" header="0.23622047244094491" footer="0.19685039370078741"/>
  <pageSetup scale="8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174"/>
  <sheetViews>
    <sheetView zoomScaleNormal="100" workbookViewId="0">
      <selection activeCell="C159" sqref="C159"/>
    </sheetView>
  </sheetViews>
  <sheetFormatPr defaultColWidth="8.88671875" defaultRowHeight="13.8" x14ac:dyDescent="0.3"/>
  <cols>
    <col min="1" max="1" width="4.88671875" style="3" customWidth="1"/>
    <col min="2" max="2" width="6.109375" style="3" customWidth="1"/>
    <col min="3" max="3" width="13.6640625" style="36" customWidth="1"/>
    <col min="4" max="4" width="24.6640625" style="3" customWidth="1"/>
    <col min="5" max="5" width="34.44140625" style="3" customWidth="1"/>
    <col min="6" max="6" width="10.44140625" style="3" customWidth="1"/>
    <col min="7" max="7" width="6.6640625" style="3" customWidth="1"/>
    <col min="8" max="8" width="8.5546875" style="3" customWidth="1"/>
    <col min="9" max="9" width="10.88671875" style="3" customWidth="1"/>
    <col min="10" max="10" width="10.44140625" style="3" customWidth="1"/>
    <col min="11" max="11" width="0.44140625" style="3" customWidth="1"/>
    <col min="12" max="12" width="9.109375" style="18" customWidth="1"/>
    <col min="13" max="15" width="8.88671875" style="18" customWidth="1"/>
    <col min="16" max="16384" width="8.88671875" style="18"/>
  </cols>
  <sheetData>
    <row r="1" spans="1:11" ht="33.75" customHeight="1" x14ac:dyDescent="0.25">
      <c r="A1" s="336" t="str">
        <f>CTRL!B7</f>
        <v>R E G I O N E M   O R L I C K A   L A N Š K R O U N   2 0 1 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15.6" x14ac:dyDescent="0.25">
      <c r="A2" s="337" t="str">
        <f>CTRL!B8</f>
        <v>29. ročník mezinárodního cyklistického závodu juniorů / 29th edition of international cycling race of juniors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</row>
    <row r="3" spans="1:11" ht="18" x14ac:dyDescent="0.35">
      <c r="A3" s="30" t="str">
        <f ca="1">MID(CELL("filename",A1),FIND("]",CELL("filename",A1))+1,256)</f>
        <v>SL0</v>
      </c>
      <c r="D3" s="338"/>
      <c r="E3" s="338"/>
      <c r="F3" s="338"/>
      <c r="G3" s="338"/>
      <c r="H3" s="338"/>
      <c r="I3" s="58"/>
      <c r="J3" s="59" t="str">
        <f xml:space="preserve"> "Com.no.: 1/" &amp; CTRL!B27</f>
        <v>Com.no.: 1/33</v>
      </c>
    </row>
    <row r="4" spans="1:11" x14ac:dyDescent="0.3">
      <c r="A4" s="60" t="str">
        <f>"Datum / Date: "&amp;TEXT(DATUM1,"dd.mm.rrrr")</f>
        <v>Datum / Date: 07.08.2015</v>
      </c>
      <c r="J4" s="61" t="str">
        <f>"Místo konání / Place: "&amp;MISTO&amp;""</f>
        <v>Místo konání / Place: Lanškroun (CZE)</v>
      </c>
      <c r="K4" s="62" t="s">
        <v>82</v>
      </c>
    </row>
    <row r="5" spans="1:11" ht="21" x14ac:dyDescent="0.3">
      <c r="A5" s="339" t="str">
        <f>SLIST</f>
        <v>Startovní listina / Start list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</row>
    <row r="6" spans="1:11" ht="9" customHeight="1" x14ac:dyDescent="0.3"/>
    <row r="7" spans="1:11" ht="13.2" x14ac:dyDescent="0.25">
      <c r="A7" s="37" t="s">
        <v>0</v>
      </c>
      <c r="B7" s="37" t="s">
        <v>1</v>
      </c>
      <c r="C7" s="37" t="s">
        <v>2</v>
      </c>
      <c r="D7" s="37" t="s">
        <v>3</v>
      </c>
      <c r="E7" s="37" t="s">
        <v>4</v>
      </c>
      <c r="F7" s="37" t="s">
        <v>5</v>
      </c>
      <c r="G7" s="37" t="s">
        <v>48</v>
      </c>
      <c r="H7" s="37" t="s">
        <v>12</v>
      </c>
      <c r="I7" s="37" t="s">
        <v>42</v>
      </c>
      <c r="J7" s="37" t="s">
        <v>27</v>
      </c>
      <c r="K7" s="37"/>
    </row>
    <row r="8" spans="1:11" ht="13.2" x14ac:dyDescent="0.25">
      <c r="A8" s="38" t="s">
        <v>6</v>
      </c>
      <c r="B8" s="38" t="s">
        <v>7</v>
      </c>
      <c r="C8" s="38" t="s">
        <v>8</v>
      </c>
      <c r="D8" s="38" t="s">
        <v>9</v>
      </c>
      <c r="E8" s="38" t="s">
        <v>14</v>
      </c>
      <c r="F8" s="38" t="s">
        <v>10</v>
      </c>
      <c r="G8" s="38" t="s">
        <v>49</v>
      </c>
      <c r="H8" s="38" t="s">
        <v>11</v>
      </c>
      <c r="I8" s="38" t="s">
        <v>43</v>
      </c>
      <c r="J8" s="38" t="s">
        <v>41</v>
      </c>
      <c r="K8" s="38"/>
    </row>
    <row r="9" spans="1:11" ht="8.25" customHeight="1" thickBot="1" x14ac:dyDescent="0.35"/>
    <row r="10" spans="1:11" ht="14.25" customHeight="1" x14ac:dyDescent="0.25">
      <c r="A10" s="341"/>
      <c r="B10" s="341"/>
      <c r="C10" s="341"/>
      <c r="D10" s="341"/>
      <c r="E10" s="341"/>
      <c r="F10" s="341"/>
      <c r="G10" s="341"/>
      <c r="H10" s="341"/>
      <c r="I10" s="341"/>
      <c r="J10" s="341"/>
      <c r="K10" s="341"/>
    </row>
    <row r="11" spans="1:11" ht="14.4" x14ac:dyDescent="0.25">
      <c r="A11" s="63"/>
      <c r="B11" s="64"/>
      <c r="C11" s="64"/>
      <c r="D11" s="64"/>
      <c r="E11" s="65"/>
      <c r="F11" s="65"/>
      <c r="G11" s="65"/>
      <c r="H11" s="65"/>
      <c r="I11" s="65"/>
      <c r="J11" s="65"/>
      <c r="K11" s="65"/>
    </row>
    <row r="12" spans="1:11" s="71" customFormat="1" ht="13.8" customHeight="1" x14ac:dyDescent="0.25">
      <c r="A12" s="45"/>
      <c r="B12" s="47">
        <v>1</v>
      </c>
      <c r="C12" s="47" t="s">
        <v>206</v>
      </c>
      <c r="D12" s="66" t="s">
        <v>207</v>
      </c>
      <c r="E12" s="67" t="s">
        <v>208</v>
      </c>
      <c r="F12" s="68" t="s">
        <v>489</v>
      </c>
      <c r="G12" s="49" t="s">
        <v>209</v>
      </c>
      <c r="H12" s="49" t="s">
        <v>210</v>
      </c>
      <c r="I12" s="69"/>
      <c r="J12" s="70"/>
      <c r="K12" s="70"/>
    </row>
    <row r="13" spans="1:11" s="71" customFormat="1" ht="13.8" customHeight="1" x14ac:dyDescent="0.25">
      <c r="A13" s="45"/>
      <c r="B13" s="47">
        <v>2</v>
      </c>
      <c r="C13" s="47" t="s">
        <v>227</v>
      </c>
      <c r="D13" s="66" t="s">
        <v>228</v>
      </c>
      <c r="E13" s="67" t="s">
        <v>208</v>
      </c>
      <c r="F13" s="68" t="s">
        <v>490</v>
      </c>
      <c r="G13" s="49" t="s">
        <v>217</v>
      </c>
      <c r="H13" s="49" t="s">
        <v>210</v>
      </c>
      <c r="I13" s="69"/>
      <c r="J13" s="70"/>
      <c r="K13" s="70"/>
    </row>
    <row r="14" spans="1:11" s="71" customFormat="1" ht="13.8" customHeight="1" x14ac:dyDescent="0.25">
      <c r="A14" s="45"/>
      <c r="B14" s="47">
        <v>3</v>
      </c>
      <c r="C14" s="47" t="s">
        <v>249</v>
      </c>
      <c r="D14" s="66" t="s">
        <v>250</v>
      </c>
      <c r="E14" s="67" t="s">
        <v>208</v>
      </c>
      <c r="F14" s="68" t="s">
        <v>491</v>
      </c>
      <c r="G14" s="49" t="s">
        <v>209</v>
      </c>
      <c r="H14" s="49" t="s">
        <v>210</v>
      </c>
      <c r="I14" s="69"/>
      <c r="J14" s="70"/>
      <c r="K14" s="70"/>
    </row>
    <row r="15" spans="1:11" s="71" customFormat="1" ht="13.8" customHeight="1" x14ac:dyDescent="0.25">
      <c r="A15" s="45"/>
      <c r="B15" s="47">
        <v>4</v>
      </c>
      <c r="C15" s="47" t="s">
        <v>393</v>
      </c>
      <c r="D15" s="66" t="s">
        <v>394</v>
      </c>
      <c r="E15" s="67" t="s">
        <v>208</v>
      </c>
      <c r="F15" s="68" t="s">
        <v>492</v>
      </c>
      <c r="G15" s="49" t="s">
        <v>209</v>
      </c>
      <c r="H15" s="49" t="s">
        <v>210</v>
      </c>
      <c r="I15" s="69"/>
      <c r="J15" s="70"/>
      <c r="K15" s="70"/>
    </row>
    <row r="16" spans="1:11" s="71" customFormat="1" ht="13.8" customHeight="1" x14ac:dyDescent="0.25">
      <c r="A16" s="45"/>
      <c r="B16" s="47">
        <v>5</v>
      </c>
      <c r="C16" s="47" t="s">
        <v>421</v>
      </c>
      <c r="D16" s="66" t="s">
        <v>422</v>
      </c>
      <c r="E16" s="67" t="s">
        <v>208</v>
      </c>
      <c r="F16" s="68" t="s">
        <v>493</v>
      </c>
      <c r="G16" s="49" t="s">
        <v>209</v>
      </c>
      <c r="H16" s="49" t="s">
        <v>210</v>
      </c>
      <c r="I16" s="69"/>
      <c r="J16" s="70"/>
      <c r="K16" s="70"/>
    </row>
    <row r="17" spans="1:11" s="71" customFormat="1" ht="13.8" customHeight="1" x14ac:dyDescent="0.25">
      <c r="A17" s="45"/>
      <c r="B17" s="47">
        <v>6</v>
      </c>
      <c r="C17" s="47" t="s">
        <v>425</v>
      </c>
      <c r="D17" s="66" t="s">
        <v>426</v>
      </c>
      <c r="E17" s="67" t="s">
        <v>208</v>
      </c>
      <c r="F17" s="68" t="s">
        <v>494</v>
      </c>
      <c r="G17" s="49" t="s">
        <v>209</v>
      </c>
      <c r="H17" s="49" t="s">
        <v>210</v>
      </c>
      <c r="I17" s="69"/>
      <c r="J17" s="70"/>
      <c r="K17" s="70"/>
    </row>
    <row r="18" spans="1:11" s="71" customFormat="1" ht="13.8" customHeight="1" x14ac:dyDescent="0.25">
      <c r="A18" s="45"/>
      <c r="B18" s="47">
        <v>7</v>
      </c>
      <c r="C18" s="47" t="s">
        <v>474</v>
      </c>
      <c r="D18" s="66" t="s">
        <v>475</v>
      </c>
      <c r="E18" s="67" t="s">
        <v>208</v>
      </c>
      <c r="F18" s="68" t="s">
        <v>495</v>
      </c>
      <c r="G18" s="49" t="s">
        <v>209</v>
      </c>
      <c r="H18" s="49" t="s">
        <v>210</v>
      </c>
      <c r="I18" s="69"/>
      <c r="J18" s="70"/>
      <c r="K18" s="70"/>
    </row>
    <row r="19" spans="1:11" s="71" customFormat="1" ht="13.8" customHeight="1" x14ac:dyDescent="0.25">
      <c r="A19" s="45"/>
      <c r="B19" s="47">
        <v>8</v>
      </c>
      <c r="C19" s="47" t="s">
        <v>483</v>
      </c>
      <c r="D19" s="66" t="s">
        <v>484</v>
      </c>
      <c r="E19" s="67" t="s">
        <v>208</v>
      </c>
      <c r="F19" s="68" t="s">
        <v>496</v>
      </c>
      <c r="G19" s="49" t="s">
        <v>217</v>
      </c>
      <c r="H19" s="49" t="s">
        <v>210</v>
      </c>
      <c r="I19" s="69"/>
      <c r="J19" s="70"/>
      <c r="K19" s="70"/>
    </row>
    <row r="20" spans="1:11" s="71" customFormat="1" ht="13.8" customHeight="1" x14ac:dyDescent="0.25">
      <c r="A20" s="45"/>
      <c r="B20" s="47">
        <v>11</v>
      </c>
      <c r="C20" s="47" t="s">
        <v>497</v>
      </c>
      <c r="D20" s="66" t="s">
        <v>498</v>
      </c>
      <c r="E20" s="67" t="s">
        <v>499</v>
      </c>
      <c r="F20" s="68" t="s">
        <v>500</v>
      </c>
      <c r="G20" s="49" t="s">
        <v>217</v>
      </c>
      <c r="H20" s="49" t="s">
        <v>501</v>
      </c>
      <c r="I20" s="69"/>
      <c r="J20" s="70"/>
      <c r="K20" s="70"/>
    </row>
    <row r="21" spans="1:11" s="71" customFormat="1" ht="13.8" customHeight="1" x14ac:dyDescent="0.25">
      <c r="A21" s="45"/>
      <c r="B21" s="47">
        <v>12</v>
      </c>
      <c r="C21" s="47" t="s">
        <v>502</v>
      </c>
      <c r="D21" s="66" t="s">
        <v>503</v>
      </c>
      <c r="E21" s="67" t="s">
        <v>499</v>
      </c>
      <c r="F21" s="68" t="s">
        <v>504</v>
      </c>
      <c r="G21" s="49" t="s">
        <v>217</v>
      </c>
      <c r="H21" s="49" t="s">
        <v>501</v>
      </c>
      <c r="I21" s="69"/>
      <c r="J21" s="70"/>
      <c r="K21" s="70"/>
    </row>
    <row r="22" spans="1:11" s="71" customFormat="1" ht="13.8" customHeight="1" x14ac:dyDescent="0.25">
      <c r="A22" s="45"/>
      <c r="B22" s="47">
        <v>13</v>
      </c>
      <c r="C22" s="47" t="s">
        <v>505</v>
      </c>
      <c r="D22" s="66" t="s">
        <v>506</v>
      </c>
      <c r="E22" s="67" t="s">
        <v>499</v>
      </c>
      <c r="F22" s="68" t="s">
        <v>507</v>
      </c>
      <c r="G22" s="49" t="s">
        <v>217</v>
      </c>
      <c r="H22" s="49" t="s">
        <v>501</v>
      </c>
      <c r="I22" s="69"/>
      <c r="J22" s="70"/>
      <c r="K22" s="70"/>
    </row>
    <row r="23" spans="1:11" s="71" customFormat="1" ht="13.8" customHeight="1" x14ac:dyDescent="0.25">
      <c r="A23" s="45"/>
      <c r="B23" s="47">
        <v>14</v>
      </c>
      <c r="C23" s="47" t="s">
        <v>508</v>
      </c>
      <c r="D23" s="66" t="s">
        <v>509</v>
      </c>
      <c r="E23" s="67" t="s">
        <v>499</v>
      </c>
      <c r="F23" s="68" t="s">
        <v>510</v>
      </c>
      <c r="G23" s="49" t="s">
        <v>209</v>
      </c>
      <c r="H23" s="49" t="s">
        <v>501</v>
      </c>
      <c r="I23" s="69"/>
      <c r="J23" s="70"/>
      <c r="K23" s="70"/>
    </row>
    <row r="24" spans="1:11" s="71" customFormat="1" ht="13.8" customHeight="1" x14ac:dyDescent="0.25">
      <c r="A24" s="45"/>
      <c r="B24" s="47">
        <v>15</v>
      </c>
      <c r="C24" s="47" t="s">
        <v>511</v>
      </c>
      <c r="D24" s="66" t="s">
        <v>512</v>
      </c>
      <c r="E24" s="67" t="s">
        <v>499</v>
      </c>
      <c r="F24" s="68" t="s">
        <v>513</v>
      </c>
      <c r="G24" s="49" t="s">
        <v>209</v>
      </c>
      <c r="H24" s="49" t="s">
        <v>501</v>
      </c>
      <c r="I24" s="69"/>
      <c r="J24" s="70"/>
      <c r="K24" s="70"/>
    </row>
    <row r="25" spans="1:11" s="71" customFormat="1" ht="13.8" customHeight="1" x14ac:dyDescent="0.25">
      <c r="A25" s="45"/>
      <c r="B25" s="47">
        <v>16</v>
      </c>
      <c r="C25" s="47" t="s">
        <v>514</v>
      </c>
      <c r="D25" s="66" t="s">
        <v>515</v>
      </c>
      <c r="E25" s="67" t="s">
        <v>499</v>
      </c>
      <c r="F25" s="68" t="s">
        <v>516</v>
      </c>
      <c r="G25" s="49" t="s">
        <v>209</v>
      </c>
      <c r="H25" s="49" t="s">
        <v>501</v>
      </c>
      <c r="I25" s="69"/>
      <c r="J25" s="70"/>
      <c r="K25" s="70"/>
    </row>
    <row r="26" spans="1:11" s="71" customFormat="1" ht="13.8" customHeight="1" x14ac:dyDescent="0.25">
      <c r="A26" s="45"/>
      <c r="B26" s="47">
        <v>17</v>
      </c>
      <c r="C26" s="47" t="s">
        <v>517</v>
      </c>
      <c r="D26" s="66" t="s">
        <v>518</v>
      </c>
      <c r="E26" s="67" t="s">
        <v>499</v>
      </c>
      <c r="F26" s="68" t="s">
        <v>519</v>
      </c>
      <c r="G26" s="49" t="s">
        <v>213</v>
      </c>
      <c r="H26" s="49" t="s">
        <v>501</v>
      </c>
      <c r="I26" s="69"/>
      <c r="J26" s="70"/>
      <c r="K26" s="70"/>
    </row>
    <row r="27" spans="1:11" s="71" customFormat="1" ht="13.8" customHeight="1" x14ac:dyDescent="0.25">
      <c r="A27" s="45"/>
      <c r="B27" s="47">
        <v>18</v>
      </c>
      <c r="C27" s="47" t="s">
        <v>520</v>
      </c>
      <c r="D27" s="66" t="s">
        <v>521</v>
      </c>
      <c r="E27" s="67" t="s">
        <v>499</v>
      </c>
      <c r="F27" s="68" t="s">
        <v>522</v>
      </c>
      <c r="G27" s="49" t="s">
        <v>213</v>
      </c>
      <c r="H27" s="49" t="s">
        <v>501</v>
      </c>
      <c r="I27" s="69"/>
      <c r="J27" s="70"/>
      <c r="K27" s="70"/>
    </row>
    <row r="28" spans="1:11" s="71" customFormat="1" ht="13.8" customHeight="1" x14ac:dyDescent="0.25">
      <c r="A28" s="45"/>
      <c r="B28" s="47">
        <v>19</v>
      </c>
      <c r="C28" s="47" t="s">
        <v>523</v>
      </c>
      <c r="D28" s="66" t="s">
        <v>524</v>
      </c>
      <c r="E28" s="67" t="s">
        <v>499</v>
      </c>
      <c r="F28" s="68" t="s">
        <v>525</v>
      </c>
      <c r="G28" s="49" t="s">
        <v>213</v>
      </c>
      <c r="H28" s="49" t="s">
        <v>501</v>
      </c>
      <c r="I28" s="69"/>
      <c r="J28" s="70"/>
      <c r="K28" s="70"/>
    </row>
    <row r="29" spans="1:11" s="71" customFormat="1" ht="13.8" customHeight="1" x14ac:dyDescent="0.25">
      <c r="A29" s="45"/>
      <c r="B29" s="47">
        <v>20</v>
      </c>
      <c r="C29" s="47" t="s">
        <v>526</v>
      </c>
      <c r="D29" s="66" t="s">
        <v>527</v>
      </c>
      <c r="E29" s="67" t="s">
        <v>499</v>
      </c>
      <c r="F29" s="68" t="s">
        <v>528</v>
      </c>
      <c r="G29" s="49" t="s">
        <v>213</v>
      </c>
      <c r="H29" s="49" t="s">
        <v>501</v>
      </c>
      <c r="I29" s="69"/>
      <c r="J29" s="70"/>
      <c r="K29" s="70"/>
    </row>
    <row r="30" spans="1:11" s="71" customFormat="1" ht="13.8" customHeight="1" x14ac:dyDescent="0.25">
      <c r="A30" s="45"/>
      <c r="B30" s="47">
        <v>21</v>
      </c>
      <c r="C30" s="47" t="s">
        <v>330</v>
      </c>
      <c r="D30" s="66" t="s">
        <v>331</v>
      </c>
      <c r="E30" s="67" t="s">
        <v>244</v>
      </c>
      <c r="F30" s="68">
        <v>10284</v>
      </c>
      <c r="G30" s="49" t="s">
        <v>217</v>
      </c>
      <c r="H30" s="49" t="s">
        <v>245</v>
      </c>
      <c r="I30" s="69"/>
      <c r="J30" s="70"/>
      <c r="K30" s="70"/>
    </row>
    <row r="31" spans="1:11" s="71" customFormat="1" ht="13.8" customHeight="1" x14ac:dyDescent="0.25">
      <c r="A31" s="45"/>
      <c r="B31" s="47">
        <v>22</v>
      </c>
      <c r="C31" s="47" t="s">
        <v>370</v>
      </c>
      <c r="D31" s="66" t="s">
        <v>371</v>
      </c>
      <c r="E31" s="67" t="s">
        <v>244</v>
      </c>
      <c r="F31" s="68">
        <v>20242</v>
      </c>
      <c r="G31" s="49" t="s">
        <v>217</v>
      </c>
      <c r="H31" s="49" t="s">
        <v>245</v>
      </c>
      <c r="I31" s="69"/>
      <c r="J31" s="70"/>
      <c r="K31" s="70"/>
    </row>
    <row r="32" spans="1:11" s="71" customFormat="1" ht="13.8" customHeight="1" x14ac:dyDescent="0.25">
      <c r="A32" s="45"/>
      <c r="B32" s="47">
        <v>23</v>
      </c>
      <c r="C32" s="47" t="s">
        <v>529</v>
      </c>
      <c r="D32" s="66" t="s">
        <v>530</v>
      </c>
      <c r="E32" s="67" t="s">
        <v>244</v>
      </c>
      <c r="F32" s="68">
        <v>5465</v>
      </c>
      <c r="G32" s="49" t="s">
        <v>213</v>
      </c>
      <c r="H32" s="49" t="s">
        <v>245</v>
      </c>
      <c r="I32" s="69"/>
      <c r="J32" s="70"/>
      <c r="K32" s="70"/>
    </row>
    <row r="33" spans="1:11" s="71" customFormat="1" ht="13.8" customHeight="1" x14ac:dyDescent="0.25">
      <c r="A33" s="45"/>
      <c r="B33" s="47">
        <v>24</v>
      </c>
      <c r="C33" s="47" t="s">
        <v>531</v>
      </c>
      <c r="D33" s="66" t="s">
        <v>532</v>
      </c>
      <c r="E33" s="67" t="s">
        <v>244</v>
      </c>
      <c r="F33" s="68">
        <v>19957</v>
      </c>
      <c r="G33" s="49" t="s">
        <v>213</v>
      </c>
      <c r="H33" s="49" t="s">
        <v>245</v>
      </c>
      <c r="I33" s="69"/>
      <c r="J33" s="70"/>
      <c r="K33" s="70"/>
    </row>
    <row r="34" spans="1:11" s="71" customFormat="1" ht="13.8" customHeight="1" x14ac:dyDescent="0.25">
      <c r="A34" s="45"/>
      <c r="B34" s="47">
        <v>25</v>
      </c>
      <c r="C34" s="47" t="s">
        <v>533</v>
      </c>
      <c r="D34" s="66" t="s">
        <v>534</v>
      </c>
      <c r="E34" s="67" t="s">
        <v>244</v>
      </c>
      <c r="F34" s="68">
        <v>7825</v>
      </c>
      <c r="G34" s="49" t="s">
        <v>213</v>
      </c>
      <c r="H34" s="49" t="s">
        <v>245</v>
      </c>
      <c r="I34" s="69"/>
      <c r="J34" s="70"/>
      <c r="K34" s="70"/>
    </row>
    <row r="35" spans="1:11" s="71" customFormat="1" ht="13.8" customHeight="1" x14ac:dyDescent="0.25">
      <c r="A35" s="45"/>
      <c r="B35" s="47">
        <v>26</v>
      </c>
      <c r="C35" s="47" t="s">
        <v>355</v>
      </c>
      <c r="D35" s="66" t="s">
        <v>356</v>
      </c>
      <c r="E35" s="67" t="s">
        <v>244</v>
      </c>
      <c r="F35" s="68">
        <v>12268</v>
      </c>
      <c r="G35" s="49" t="s">
        <v>209</v>
      </c>
      <c r="H35" s="49" t="s">
        <v>245</v>
      </c>
      <c r="I35" s="69"/>
      <c r="J35" s="70"/>
      <c r="K35" s="70"/>
    </row>
    <row r="36" spans="1:11" s="71" customFormat="1" ht="13.8" customHeight="1" x14ac:dyDescent="0.25">
      <c r="A36" s="45"/>
      <c r="B36" s="47">
        <v>27</v>
      </c>
      <c r="C36" s="47" t="s">
        <v>443</v>
      </c>
      <c r="D36" s="66" t="s">
        <v>444</v>
      </c>
      <c r="E36" s="67" t="s">
        <v>244</v>
      </c>
      <c r="F36" s="68">
        <v>7794</v>
      </c>
      <c r="G36" s="49" t="s">
        <v>217</v>
      </c>
      <c r="H36" s="49" t="s">
        <v>245</v>
      </c>
      <c r="I36" s="69"/>
      <c r="J36" s="70"/>
      <c r="K36" s="70"/>
    </row>
    <row r="37" spans="1:11" s="71" customFormat="1" ht="13.8" customHeight="1" x14ac:dyDescent="0.25">
      <c r="A37" s="45"/>
      <c r="B37" s="47">
        <v>31</v>
      </c>
      <c r="C37" s="47" t="s">
        <v>229</v>
      </c>
      <c r="D37" s="66" t="s">
        <v>230</v>
      </c>
      <c r="E37" s="67" t="s">
        <v>231</v>
      </c>
      <c r="F37" s="68" t="s">
        <v>535</v>
      </c>
      <c r="G37" s="49" t="s">
        <v>217</v>
      </c>
      <c r="H37" s="49" t="s">
        <v>232</v>
      </c>
      <c r="I37" s="69"/>
      <c r="J37" s="70"/>
      <c r="K37" s="70"/>
    </row>
    <row r="38" spans="1:11" s="71" customFormat="1" ht="13.8" customHeight="1" x14ac:dyDescent="0.25">
      <c r="A38" s="45"/>
      <c r="B38" s="47">
        <v>32</v>
      </c>
      <c r="C38" s="47" t="s">
        <v>238</v>
      </c>
      <c r="D38" s="66" t="s">
        <v>239</v>
      </c>
      <c r="E38" s="67" t="s">
        <v>231</v>
      </c>
      <c r="F38" s="68" t="s">
        <v>536</v>
      </c>
      <c r="G38" s="49" t="s">
        <v>209</v>
      </c>
      <c r="H38" s="49" t="s">
        <v>232</v>
      </c>
      <c r="I38" s="69"/>
      <c r="J38" s="70"/>
      <c r="K38" s="70"/>
    </row>
    <row r="39" spans="1:11" s="71" customFormat="1" ht="13.8" customHeight="1" x14ac:dyDescent="0.25">
      <c r="A39" s="45"/>
      <c r="B39" s="47">
        <v>33</v>
      </c>
      <c r="C39" s="47" t="s">
        <v>253</v>
      </c>
      <c r="D39" s="66" t="s">
        <v>254</v>
      </c>
      <c r="E39" s="67" t="s">
        <v>231</v>
      </c>
      <c r="F39" s="68" t="s">
        <v>537</v>
      </c>
      <c r="G39" s="49" t="s">
        <v>209</v>
      </c>
      <c r="H39" s="49" t="s">
        <v>232</v>
      </c>
      <c r="I39" s="69"/>
      <c r="J39" s="70"/>
      <c r="K39" s="70"/>
    </row>
    <row r="40" spans="1:11" s="71" customFormat="1" ht="13.8" customHeight="1" x14ac:dyDescent="0.25">
      <c r="A40" s="45"/>
      <c r="B40" s="47">
        <v>34</v>
      </c>
      <c r="C40" s="47" t="s">
        <v>275</v>
      </c>
      <c r="D40" s="66" t="s">
        <v>276</v>
      </c>
      <c r="E40" s="67" t="s">
        <v>231</v>
      </c>
      <c r="F40" s="68" t="s">
        <v>538</v>
      </c>
      <c r="G40" s="49" t="s">
        <v>217</v>
      </c>
      <c r="H40" s="49" t="s">
        <v>232</v>
      </c>
      <c r="I40" s="69"/>
      <c r="J40" s="70"/>
      <c r="K40" s="70"/>
    </row>
    <row r="41" spans="1:11" s="71" customFormat="1" ht="13.8" customHeight="1" x14ac:dyDescent="0.25">
      <c r="A41" s="45"/>
      <c r="B41" s="47">
        <v>35</v>
      </c>
      <c r="C41" s="47" t="s">
        <v>322</v>
      </c>
      <c r="D41" s="66" t="s">
        <v>323</v>
      </c>
      <c r="E41" s="67" t="s">
        <v>231</v>
      </c>
      <c r="F41" s="68" t="s">
        <v>539</v>
      </c>
      <c r="G41" s="49" t="s">
        <v>213</v>
      </c>
      <c r="H41" s="49" t="s">
        <v>232</v>
      </c>
      <c r="I41" s="69"/>
      <c r="J41" s="70"/>
      <c r="K41" s="70"/>
    </row>
    <row r="42" spans="1:11" s="71" customFormat="1" ht="13.8" customHeight="1" x14ac:dyDescent="0.25">
      <c r="A42" s="45"/>
      <c r="B42" s="47">
        <v>36</v>
      </c>
      <c r="C42" s="47" t="s">
        <v>332</v>
      </c>
      <c r="D42" s="66" t="s">
        <v>333</v>
      </c>
      <c r="E42" s="67" t="s">
        <v>231</v>
      </c>
      <c r="F42" s="68" t="s">
        <v>540</v>
      </c>
      <c r="G42" s="49" t="s">
        <v>213</v>
      </c>
      <c r="H42" s="49" t="s">
        <v>232</v>
      </c>
      <c r="I42" s="69"/>
      <c r="J42" s="70"/>
      <c r="K42" s="70"/>
    </row>
    <row r="43" spans="1:11" s="71" customFormat="1" ht="13.8" customHeight="1" x14ac:dyDescent="0.25">
      <c r="A43" s="45"/>
      <c r="B43" s="47">
        <v>37</v>
      </c>
      <c r="C43" s="47" t="s">
        <v>395</v>
      </c>
      <c r="D43" s="66" t="s">
        <v>396</v>
      </c>
      <c r="E43" s="67" t="s">
        <v>231</v>
      </c>
      <c r="F43" s="68" t="s">
        <v>541</v>
      </c>
      <c r="G43" s="49" t="s">
        <v>209</v>
      </c>
      <c r="H43" s="49" t="s">
        <v>232</v>
      </c>
      <c r="I43" s="69"/>
      <c r="J43" s="70"/>
      <c r="K43" s="70"/>
    </row>
    <row r="44" spans="1:11" s="71" customFormat="1" ht="13.8" customHeight="1" x14ac:dyDescent="0.25">
      <c r="A44" s="45"/>
      <c r="B44" s="47">
        <v>38</v>
      </c>
      <c r="C44" s="47" t="s">
        <v>423</v>
      </c>
      <c r="D44" s="66" t="s">
        <v>424</v>
      </c>
      <c r="E44" s="67" t="s">
        <v>231</v>
      </c>
      <c r="F44" s="68" t="s">
        <v>542</v>
      </c>
      <c r="G44" s="49" t="s">
        <v>209</v>
      </c>
      <c r="H44" s="49" t="s">
        <v>232</v>
      </c>
      <c r="I44" s="69"/>
      <c r="J44" s="70"/>
      <c r="K44" s="70"/>
    </row>
    <row r="45" spans="1:11" s="71" customFormat="1" ht="13.8" customHeight="1" x14ac:dyDescent="0.25">
      <c r="A45" s="45"/>
      <c r="B45" s="47">
        <v>39</v>
      </c>
      <c r="C45" s="47" t="s">
        <v>485</v>
      </c>
      <c r="D45" s="66" t="s">
        <v>486</v>
      </c>
      <c r="E45" s="67" t="s">
        <v>231</v>
      </c>
      <c r="F45" s="68" t="s">
        <v>543</v>
      </c>
      <c r="G45" s="49" t="s">
        <v>209</v>
      </c>
      <c r="H45" s="49" t="s">
        <v>232</v>
      </c>
      <c r="I45" s="69"/>
      <c r="J45" s="70"/>
      <c r="K45" s="70"/>
    </row>
    <row r="46" spans="1:11" s="71" customFormat="1" ht="13.8" customHeight="1" x14ac:dyDescent="0.25">
      <c r="A46" s="45"/>
      <c r="B46" s="47">
        <v>40</v>
      </c>
      <c r="C46" s="47" t="s">
        <v>487</v>
      </c>
      <c r="D46" s="66" t="s">
        <v>488</v>
      </c>
      <c r="E46" s="67" t="s">
        <v>231</v>
      </c>
      <c r="F46" s="68" t="s">
        <v>544</v>
      </c>
      <c r="G46" s="49" t="s">
        <v>213</v>
      </c>
      <c r="H46" s="49" t="s">
        <v>232</v>
      </c>
      <c r="I46" s="69"/>
      <c r="J46" s="70"/>
      <c r="K46" s="70"/>
    </row>
    <row r="47" spans="1:11" s="71" customFormat="1" ht="13.8" customHeight="1" x14ac:dyDescent="0.25">
      <c r="A47" s="45"/>
      <c r="B47" s="47">
        <v>41</v>
      </c>
      <c r="C47" s="47" t="s">
        <v>313</v>
      </c>
      <c r="D47" s="66" t="s">
        <v>314</v>
      </c>
      <c r="E47" s="67" t="s">
        <v>221</v>
      </c>
      <c r="F47" s="68">
        <v>13150</v>
      </c>
      <c r="G47" s="49" t="s">
        <v>217</v>
      </c>
      <c r="H47" s="49" t="s">
        <v>222</v>
      </c>
      <c r="I47" s="69"/>
      <c r="J47" s="70"/>
      <c r="K47" s="70"/>
    </row>
    <row r="48" spans="1:11" s="71" customFormat="1" ht="13.8" customHeight="1" x14ac:dyDescent="0.25">
      <c r="A48" s="45"/>
      <c r="B48" s="47">
        <v>42</v>
      </c>
      <c r="C48" s="47" t="s">
        <v>320</v>
      </c>
      <c r="D48" s="66" t="s">
        <v>321</v>
      </c>
      <c r="E48" s="67" t="s">
        <v>221</v>
      </c>
      <c r="F48" s="68">
        <v>3713</v>
      </c>
      <c r="G48" s="49" t="s">
        <v>213</v>
      </c>
      <c r="H48" s="49" t="s">
        <v>222</v>
      </c>
      <c r="I48" s="69"/>
      <c r="J48" s="70"/>
      <c r="K48" s="70"/>
    </row>
    <row r="49" spans="1:17" s="71" customFormat="1" ht="13.8" customHeight="1" x14ac:dyDescent="0.25">
      <c r="A49" s="45"/>
      <c r="B49" s="47">
        <v>43</v>
      </c>
      <c r="C49" s="47" t="s">
        <v>334</v>
      </c>
      <c r="D49" s="66" t="s">
        <v>335</v>
      </c>
      <c r="E49" s="67" t="s">
        <v>221</v>
      </c>
      <c r="F49" s="68">
        <v>9513</v>
      </c>
      <c r="G49" s="49" t="s">
        <v>209</v>
      </c>
      <c r="H49" s="49" t="s">
        <v>222</v>
      </c>
      <c r="I49" s="69"/>
      <c r="J49" s="70"/>
      <c r="K49" s="70"/>
    </row>
    <row r="50" spans="1:17" s="71" customFormat="1" ht="13.8" customHeight="1" x14ac:dyDescent="0.25">
      <c r="A50" s="45"/>
      <c r="B50" s="47">
        <v>44</v>
      </c>
      <c r="C50" s="47" t="s">
        <v>353</v>
      </c>
      <c r="D50" s="66" t="s">
        <v>354</v>
      </c>
      <c r="E50" s="67" t="s">
        <v>221</v>
      </c>
      <c r="F50" s="68">
        <v>13287</v>
      </c>
      <c r="G50" s="49" t="s">
        <v>217</v>
      </c>
      <c r="H50" s="49" t="s">
        <v>222</v>
      </c>
      <c r="I50" s="69"/>
      <c r="J50" s="70"/>
      <c r="K50" s="70"/>
    </row>
    <row r="51" spans="1:17" s="71" customFormat="1" ht="13.8" customHeight="1" x14ac:dyDescent="0.25">
      <c r="A51" s="45"/>
      <c r="B51" s="47">
        <v>45</v>
      </c>
      <c r="C51" s="47" t="s">
        <v>433</v>
      </c>
      <c r="D51" s="66" t="s">
        <v>434</v>
      </c>
      <c r="E51" s="67" t="s">
        <v>221</v>
      </c>
      <c r="F51" s="68">
        <v>11747</v>
      </c>
      <c r="G51" s="49" t="s">
        <v>217</v>
      </c>
      <c r="H51" s="49" t="s">
        <v>222</v>
      </c>
      <c r="I51" s="69"/>
      <c r="J51" s="70"/>
      <c r="K51" s="70"/>
    </row>
    <row r="52" spans="1:17" s="71" customFormat="1" ht="13.8" customHeight="1" x14ac:dyDescent="0.25">
      <c r="A52" s="45"/>
      <c r="B52" s="47">
        <v>46</v>
      </c>
      <c r="C52" s="47" t="s">
        <v>441</v>
      </c>
      <c r="D52" s="66" t="s">
        <v>442</v>
      </c>
      <c r="E52" s="67" t="s">
        <v>221</v>
      </c>
      <c r="F52" s="68">
        <v>5296</v>
      </c>
      <c r="G52" s="49" t="s">
        <v>209</v>
      </c>
      <c r="H52" s="49" t="s">
        <v>222</v>
      </c>
      <c r="I52" s="69"/>
      <c r="J52" s="70"/>
      <c r="K52" s="70"/>
    </row>
    <row r="53" spans="1:17" s="71" customFormat="1" ht="13.8" customHeight="1" x14ac:dyDescent="0.25">
      <c r="A53" s="45"/>
      <c r="B53" s="47">
        <v>51</v>
      </c>
      <c r="C53" s="47" t="s">
        <v>307</v>
      </c>
      <c r="D53" s="66" t="s">
        <v>446</v>
      </c>
      <c r="E53" s="67" t="s">
        <v>545</v>
      </c>
      <c r="F53" s="68">
        <v>20073</v>
      </c>
      <c r="G53" s="49" t="s">
        <v>209</v>
      </c>
      <c r="H53" s="49" t="s">
        <v>274</v>
      </c>
      <c r="I53" s="69"/>
      <c r="J53" s="70"/>
      <c r="K53" s="70"/>
    </row>
    <row r="54" spans="1:17" s="71" customFormat="1" ht="13.8" customHeight="1" x14ac:dyDescent="0.25">
      <c r="A54" s="45"/>
      <c r="B54" s="47">
        <v>52</v>
      </c>
      <c r="C54" s="47" t="s">
        <v>345</v>
      </c>
      <c r="D54" s="66" t="s">
        <v>346</v>
      </c>
      <c r="E54" s="67" t="s">
        <v>546</v>
      </c>
      <c r="F54" s="68">
        <v>20626</v>
      </c>
      <c r="G54" s="49" t="s">
        <v>209</v>
      </c>
      <c r="H54" s="49" t="s">
        <v>274</v>
      </c>
      <c r="I54" s="69"/>
      <c r="J54" s="70"/>
      <c r="K54" s="70"/>
    </row>
    <row r="55" spans="1:17" s="71" customFormat="1" ht="13.8" customHeight="1" x14ac:dyDescent="0.25">
      <c r="A55" s="45"/>
      <c r="B55" s="47">
        <v>53</v>
      </c>
      <c r="C55" s="47" t="s">
        <v>387</v>
      </c>
      <c r="D55" s="66" t="s">
        <v>388</v>
      </c>
      <c r="E55" s="67" t="s">
        <v>546</v>
      </c>
      <c r="F55" s="68">
        <v>15169</v>
      </c>
      <c r="G55" s="49" t="s">
        <v>213</v>
      </c>
      <c r="H55" s="49" t="s">
        <v>274</v>
      </c>
      <c r="I55" s="69"/>
      <c r="J55" s="70"/>
      <c r="K55" s="70"/>
    </row>
    <row r="56" spans="1:17" s="71" customFormat="1" ht="13.8" customHeight="1" x14ac:dyDescent="0.25">
      <c r="A56" s="45"/>
      <c r="B56" s="47">
        <v>54</v>
      </c>
      <c r="C56" s="47" t="s">
        <v>410</v>
      </c>
      <c r="D56" s="66" t="s">
        <v>411</v>
      </c>
      <c r="E56" s="67" t="s">
        <v>546</v>
      </c>
      <c r="F56" s="68">
        <v>9870</v>
      </c>
      <c r="G56" s="49" t="s">
        <v>209</v>
      </c>
      <c r="H56" s="49" t="s">
        <v>274</v>
      </c>
      <c r="I56" s="69"/>
      <c r="J56" s="70"/>
      <c r="K56" s="70"/>
    </row>
    <row r="57" spans="1:17" s="71" customFormat="1" ht="13.8" customHeight="1" x14ac:dyDescent="0.25">
      <c r="A57" s="45"/>
      <c r="B57" s="47">
        <v>55</v>
      </c>
      <c r="C57" s="47" t="s">
        <v>462</v>
      </c>
      <c r="D57" s="66" t="s">
        <v>463</v>
      </c>
      <c r="E57" s="67" t="s">
        <v>546</v>
      </c>
      <c r="F57" s="68">
        <v>20625</v>
      </c>
      <c r="G57" s="49" t="s">
        <v>217</v>
      </c>
      <c r="H57" s="49" t="s">
        <v>274</v>
      </c>
      <c r="I57" s="69"/>
      <c r="J57" s="70"/>
      <c r="K57" s="70"/>
    </row>
    <row r="58" spans="1:17" s="71" customFormat="1" ht="13.8" customHeight="1" x14ac:dyDescent="0.25">
      <c r="A58" s="45"/>
      <c r="B58" s="47">
        <v>56</v>
      </c>
      <c r="C58" s="47" t="s">
        <v>272</v>
      </c>
      <c r="D58" s="66" t="s">
        <v>273</v>
      </c>
      <c r="E58" s="67" t="s">
        <v>547</v>
      </c>
      <c r="F58" s="68" t="s">
        <v>548</v>
      </c>
      <c r="G58" s="49" t="s">
        <v>217</v>
      </c>
      <c r="H58" s="49" t="s">
        <v>274</v>
      </c>
      <c r="I58" s="69"/>
      <c r="J58" s="70"/>
      <c r="K58" s="70"/>
    </row>
    <row r="59" spans="1:17" s="71" customFormat="1" ht="13.8" customHeight="1" x14ac:dyDescent="0.25">
      <c r="A59" s="45"/>
      <c r="B59" s="47">
        <v>57</v>
      </c>
      <c r="C59" s="47" t="s">
        <v>289</v>
      </c>
      <c r="D59" s="66" t="s">
        <v>290</v>
      </c>
      <c r="E59" s="67" t="s">
        <v>547</v>
      </c>
      <c r="F59" s="68" t="s">
        <v>549</v>
      </c>
      <c r="G59" s="49" t="s">
        <v>217</v>
      </c>
      <c r="H59" s="49" t="s">
        <v>274</v>
      </c>
      <c r="I59" s="69"/>
      <c r="J59" s="70"/>
      <c r="K59" s="70"/>
    </row>
    <row r="60" spans="1:17" s="71" customFormat="1" ht="13.8" customHeight="1" x14ac:dyDescent="0.25">
      <c r="A60" s="45"/>
      <c r="B60" s="47">
        <v>58</v>
      </c>
      <c r="C60" s="47" t="s">
        <v>383</v>
      </c>
      <c r="D60" s="66" t="s">
        <v>384</v>
      </c>
      <c r="E60" s="67" t="s">
        <v>547</v>
      </c>
      <c r="F60" s="68" t="s">
        <v>550</v>
      </c>
      <c r="G60" s="49" t="s">
        <v>213</v>
      </c>
      <c r="H60" s="49" t="s">
        <v>274</v>
      </c>
      <c r="I60" s="69"/>
      <c r="J60" s="70"/>
      <c r="K60" s="70"/>
    </row>
    <row r="61" spans="1:17" s="71" customFormat="1" ht="13.8" customHeight="1" x14ac:dyDescent="0.25">
      <c r="A61" s="45"/>
      <c r="B61" s="47">
        <v>59</v>
      </c>
      <c r="C61" s="47" t="s">
        <v>685</v>
      </c>
      <c r="D61" s="66" t="s">
        <v>551</v>
      </c>
      <c r="E61" s="67" t="s">
        <v>547</v>
      </c>
      <c r="F61" s="68" t="s">
        <v>552</v>
      </c>
      <c r="G61" s="49" t="s">
        <v>217</v>
      </c>
      <c r="H61" s="49" t="s">
        <v>274</v>
      </c>
      <c r="I61" s="69"/>
      <c r="J61" s="70"/>
      <c r="K61" s="70"/>
    </row>
    <row r="62" spans="1:17" s="71" customFormat="1" ht="13.8" customHeight="1" x14ac:dyDescent="0.25">
      <c r="A62" s="45"/>
      <c r="B62" s="47">
        <v>60</v>
      </c>
      <c r="C62" s="47" t="s">
        <v>235</v>
      </c>
      <c r="D62" s="66" t="s">
        <v>236</v>
      </c>
      <c r="E62" s="67" t="s">
        <v>611</v>
      </c>
      <c r="F62" s="68" t="s">
        <v>237</v>
      </c>
      <c r="G62" s="49" t="s">
        <v>209</v>
      </c>
      <c r="H62" s="49" t="s">
        <v>274</v>
      </c>
      <c r="I62" s="69"/>
      <c r="J62" s="70"/>
      <c r="K62" s="70"/>
    </row>
    <row r="63" spans="1:17" s="71" customFormat="1" ht="13.8" customHeight="1" x14ac:dyDescent="0.25">
      <c r="A63" s="45"/>
      <c r="B63" s="47">
        <v>61</v>
      </c>
      <c r="C63" s="47" t="s">
        <v>255</v>
      </c>
      <c r="D63" s="66" t="s">
        <v>256</v>
      </c>
      <c r="E63" s="67" t="s">
        <v>257</v>
      </c>
      <c r="F63" s="68">
        <v>57573</v>
      </c>
      <c r="G63" s="49" t="s">
        <v>209</v>
      </c>
      <c r="H63" s="49" t="s">
        <v>258</v>
      </c>
      <c r="I63" s="69"/>
      <c r="J63" s="70"/>
      <c r="K63" s="70"/>
      <c r="Q63" s="72"/>
    </row>
    <row r="64" spans="1:17" s="71" customFormat="1" ht="13.8" customHeight="1" x14ac:dyDescent="0.25">
      <c r="A64" s="45"/>
      <c r="B64" s="47">
        <v>62</v>
      </c>
      <c r="C64" s="47" t="s">
        <v>260</v>
      </c>
      <c r="D64" s="66" t="s">
        <v>261</v>
      </c>
      <c r="E64" s="67" t="s">
        <v>257</v>
      </c>
      <c r="F64" s="68">
        <v>55822</v>
      </c>
      <c r="G64" s="49" t="s">
        <v>217</v>
      </c>
      <c r="H64" s="49" t="s">
        <v>258</v>
      </c>
      <c r="I64" s="69"/>
      <c r="J64" s="70"/>
      <c r="K64" s="70"/>
    </row>
    <row r="65" spans="1:11" s="71" customFormat="1" ht="13.8" customHeight="1" x14ac:dyDescent="0.25">
      <c r="A65" s="45"/>
      <c r="B65" s="47">
        <v>63</v>
      </c>
      <c r="C65" s="47" t="s">
        <v>309</v>
      </c>
      <c r="D65" s="66" t="s">
        <v>310</v>
      </c>
      <c r="E65" s="67" t="s">
        <v>257</v>
      </c>
      <c r="F65" s="68">
        <v>57574</v>
      </c>
      <c r="G65" s="49" t="s">
        <v>209</v>
      </c>
      <c r="H65" s="49" t="s">
        <v>258</v>
      </c>
      <c r="I65" s="69"/>
      <c r="J65" s="70"/>
      <c r="K65" s="70"/>
    </row>
    <row r="66" spans="1:11" s="71" customFormat="1" ht="13.8" customHeight="1" x14ac:dyDescent="0.25">
      <c r="A66" s="45"/>
      <c r="B66" s="47">
        <v>64</v>
      </c>
      <c r="C66" s="47" t="s">
        <v>336</v>
      </c>
      <c r="D66" s="66" t="s">
        <v>337</v>
      </c>
      <c r="E66" s="67" t="s">
        <v>257</v>
      </c>
      <c r="F66" s="68">
        <v>49059</v>
      </c>
      <c r="G66" s="49" t="s">
        <v>209</v>
      </c>
      <c r="H66" s="49" t="s">
        <v>258</v>
      </c>
      <c r="I66" s="69"/>
      <c r="J66" s="70"/>
      <c r="K66" s="70"/>
    </row>
    <row r="67" spans="1:11" s="71" customFormat="1" ht="13.8" customHeight="1" x14ac:dyDescent="0.25">
      <c r="A67" s="45"/>
      <c r="B67" s="47">
        <v>65</v>
      </c>
      <c r="C67" s="47" t="s">
        <v>376</v>
      </c>
      <c r="D67" s="66" t="s">
        <v>377</v>
      </c>
      <c r="E67" s="67" t="s">
        <v>257</v>
      </c>
      <c r="F67" s="68">
        <v>52305</v>
      </c>
      <c r="G67" s="49" t="s">
        <v>213</v>
      </c>
      <c r="H67" s="49" t="s">
        <v>258</v>
      </c>
      <c r="I67" s="69"/>
      <c r="J67" s="70"/>
      <c r="K67" s="70"/>
    </row>
    <row r="68" spans="1:11" s="71" customFormat="1" ht="13.8" customHeight="1" x14ac:dyDescent="0.25">
      <c r="A68" s="45"/>
      <c r="B68" s="47">
        <v>66</v>
      </c>
      <c r="C68" s="47" t="s">
        <v>454</v>
      </c>
      <c r="D68" s="66" t="s">
        <v>455</v>
      </c>
      <c r="E68" s="67" t="s">
        <v>257</v>
      </c>
      <c r="F68" s="68">
        <v>53896</v>
      </c>
      <c r="G68" s="49" t="s">
        <v>213</v>
      </c>
      <c r="H68" s="49" t="s">
        <v>258</v>
      </c>
      <c r="I68" s="69"/>
      <c r="J68" s="70"/>
      <c r="K68" s="70"/>
    </row>
    <row r="69" spans="1:11" s="71" customFormat="1" ht="13.8" customHeight="1" x14ac:dyDescent="0.25">
      <c r="A69" s="45"/>
      <c r="B69" s="47">
        <v>67</v>
      </c>
      <c r="C69" s="47" t="s">
        <v>456</v>
      </c>
      <c r="D69" s="66" t="s">
        <v>457</v>
      </c>
      <c r="E69" s="67" t="s">
        <v>257</v>
      </c>
      <c r="F69" s="68">
        <v>61440</v>
      </c>
      <c r="G69" s="49" t="s">
        <v>213</v>
      </c>
      <c r="H69" s="49" t="s">
        <v>258</v>
      </c>
      <c r="I69" s="69"/>
      <c r="J69" s="70"/>
      <c r="K69" s="70"/>
    </row>
    <row r="70" spans="1:11" s="71" customFormat="1" ht="13.8" customHeight="1" x14ac:dyDescent="0.25">
      <c r="A70" s="45"/>
      <c r="B70" s="47">
        <v>68</v>
      </c>
      <c r="C70" s="47" t="s">
        <v>458</v>
      </c>
      <c r="D70" s="66" t="s">
        <v>459</v>
      </c>
      <c r="E70" s="67" t="s">
        <v>257</v>
      </c>
      <c r="F70" s="68">
        <v>51298</v>
      </c>
      <c r="G70" s="49" t="s">
        <v>209</v>
      </c>
      <c r="H70" s="49" t="s">
        <v>258</v>
      </c>
      <c r="I70" s="69"/>
      <c r="J70" s="70"/>
      <c r="K70" s="70"/>
    </row>
    <row r="71" spans="1:11" s="71" customFormat="1" ht="13.8" customHeight="1" x14ac:dyDescent="0.25">
      <c r="A71" s="45"/>
      <c r="B71" s="47">
        <v>69</v>
      </c>
      <c r="C71" s="47" t="s">
        <v>553</v>
      </c>
      <c r="D71" s="66" t="s">
        <v>554</v>
      </c>
      <c r="E71" s="67" t="s">
        <v>257</v>
      </c>
      <c r="F71" s="68">
        <v>49880</v>
      </c>
      <c r="G71" s="49" t="s">
        <v>213</v>
      </c>
      <c r="H71" s="49" t="s">
        <v>258</v>
      </c>
      <c r="I71" s="69"/>
      <c r="J71" s="70"/>
      <c r="K71" s="70"/>
    </row>
    <row r="72" spans="1:11" s="71" customFormat="1" ht="13.8" customHeight="1" x14ac:dyDescent="0.25">
      <c r="A72" s="45"/>
      <c r="B72" s="47">
        <v>71</v>
      </c>
      <c r="C72" s="47" t="s">
        <v>324</v>
      </c>
      <c r="D72" s="66" t="s">
        <v>325</v>
      </c>
      <c r="E72" s="67" t="s">
        <v>612</v>
      </c>
      <c r="F72" s="68">
        <v>7815</v>
      </c>
      <c r="G72" s="49" t="s">
        <v>213</v>
      </c>
      <c r="H72" s="49" t="s">
        <v>555</v>
      </c>
      <c r="I72" s="69"/>
      <c r="J72" s="70"/>
      <c r="K72" s="70"/>
    </row>
    <row r="73" spans="1:11" s="71" customFormat="1" ht="13.8" customHeight="1" x14ac:dyDescent="0.25">
      <c r="A73" s="45"/>
      <c r="B73" s="47">
        <v>72</v>
      </c>
      <c r="C73" s="47" t="s">
        <v>347</v>
      </c>
      <c r="D73" s="66" t="s">
        <v>348</v>
      </c>
      <c r="E73" s="67" t="s">
        <v>613</v>
      </c>
      <c r="F73" s="68">
        <v>16722</v>
      </c>
      <c r="G73" s="49" t="s">
        <v>217</v>
      </c>
      <c r="H73" s="49" t="s">
        <v>555</v>
      </c>
      <c r="I73" s="69"/>
      <c r="J73" s="70"/>
      <c r="K73" s="70"/>
    </row>
    <row r="74" spans="1:11" s="71" customFormat="1" ht="13.8" customHeight="1" x14ac:dyDescent="0.25">
      <c r="A74" s="45"/>
      <c r="B74" s="47">
        <v>73</v>
      </c>
      <c r="C74" s="47" t="s">
        <v>219</v>
      </c>
      <c r="D74" s="66" t="s">
        <v>220</v>
      </c>
      <c r="E74" s="67" t="s">
        <v>614</v>
      </c>
      <c r="F74" s="68">
        <v>10972</v>
      </c>
      <c r="G74" s="49" t="s">
        <v>213</v>
      </c>
      <c r="H74" s="49" t="s">
        <v>555</v>
      </c>
      <c r="I74" s="69"/>
      <c r="J74" s="70"/>
      <c r="K74" s="70"/>
    </row>
    <row r="75" spans="1:11" s="71" customFormat="1" ht="13.8" customHeight="1" x14ac:dyDescent="0.25">
      <c r="A75" s="45"/>
      <c r="B75" s="47">
        <v>74</v>
      </c>
      <c r="C75" s="47" t="s">
        <v>340</v>
      </c>
      <c r="D75" s="66" t="s">
        <v>341</v>
      </c>
      <c r="E75" s="67" t="s">
        <v>614</v>
      </c>
      <c r="F75" s="68">
        <v>13590</v>
      </c>
      <c r="G75" s="49" t="s">
        <v>209</v>
      </c>
      <c r="H75" s="49" t="s">
        <v>555</v>
      </c>
      <c r="I75" s="69"/>
      <c r="J75" s="70"/>
      <c r="K75" s="70"/>
    </row>
    <row r="76" spans="1:11" s="71" customFormat="1" ht="13.8" customHeight="1" x14ac:dyDescent="0.25">
      <c r="A76" s="45"/>
      <c r="B76" s="47">
        <v>75</v>
      </c>
      <c r="C76" s="47" t="s">
        <v>429</v>
      </c>
      <c r="D76" s="66" t="s">
        <v>430</v>
      </c>
      <c r="E76" s="67" t="s">
        <v>615</v>
      </c>
      <c r="F76" s="68">
        <v>10880</v>
      </c>
      <c r="G76" s="49" t="s">
        <v>217</v>
      </c>
      <c r="H76" s="49" t="s">
        <v>555</v>
      </c>
      <c r="I76" s="69"/>
      <c r="J76" s="70"/>
      <c r="K76" s="70"/>
    </row>
    <row r="77" spans="1:11" s="71" customFormat="1" ht="13.8" customHeight="1" x14ac:dyDescent="0.25">
      <c r="A77" s="45"/>
      <c r="B77" s="47">
        <v>76</v>
      </c>
      <c r="C77" s="47" t="s">
        <v>313</v>
      </c>
      <c r="D77" s="66" t="s">
        <v>445</v>
      </c>
      <c r="E77" s="67" t="s">
        <v>615</v>
      </c>
      <c r="F77" s="68">
        <v>19527</v>
      </c>
      <c r="G77" s="49" t="s">
        <v>217</v>
      </c>
      <c r="H77" s="49" t="s">
        <v>555</v>
      </c>
      <c r="I77" s="69"/>
      <c r="J77" s="70"/>
      <c r="K77" s="70"/>
    </row>
    <row r="78" spans="1:11" s="71" customFormat="1" ht="13.8" customHeight="1" x14ac:dyDescent="0.25">
      <c r="A78" s="45"/>
      <c r="B78" s="47">
        <v>77</v>
      </c>
      <c r="C78" s="47" t="s">
        <v>403</v>
      </c>
      <c r="D78" s="66" t="s">
        <v>404</v>
      </c>
      <c r="E78" s="67" t="s">
        <v>616</v>
      </c>
      <c r="F78" s="68">
        <v>56927</v>
      </c>
      <c r="G78" s="49" t="s">
        <v>217</v>
      </c>
      <c r="H78" s="49" t="s">
        <v>555</v>
      </c>
      <c r="I78" s="69"/>
      <c r="J78" s="70"/>
      <c r="K78" s="70"/>
    </row>
    <row r="79" spans="1:11" s="71" customFormat="1" ht="13.8" customHeight="1" x14ac:dyDescent="0.25">
      <c r="A79" s="45"/>
      <c r="B79" s="47">
        <v>78</v>
      </c>
      <c r="C79" s="47" t="s">
        <v>225</v>
      </c>
      <c r="D79" s="66" t="s">
        <v>226</v>
      </c>
      <c r="E79" s="67" t="s">
        <v>617</v>
      </c>
      <c r="F79" s="68">
        <v>5332</v>
      </c>
      <c r="G79" s="49" t="s">
        <v>209</v>
      </c>
      <c r="H79" s="49" t="s">
        <v>555</v>
      </c>
      <c r="I79" s="69"/>
      <c r="J79" s="70"/>
      <c r="K79" s="70"/>
    </row>
    <row r="80" spans="1:11" s="71" customFormat="1" ht="13.8" customHeight="1" x14ac:dyDescent="0.25">
      <c r="A80" s="45"/>
      <c r="B80" s="47">
        <v>79</v>
      </c>
      <c r="C80" s="47" t="s">
        <v>372</v>
      </c>
      <c r="D80" s="66" t="s">
        <v>373</v>
      </c>
      <c r="E80" s="67" t="s">
        <v>617</v>
      </c>
      <c r="F80" s="68">
        <v>19708</v>
      </c>
      <c r="G80" s="49" t="s">
        <v>209</v>
      </c>
      <c r="H80" s="49" t="s">
        <v>555</v>
      </c>
      <c r="I80" s="69"/>
      <c r="J80" s="70"/>
      <c r="K80" s="70"/>
    </row>
    <row r="81" spans="1:11" s="71" customFormat="1" ht="13.8" customHeight="1" x14ac:dyDescent="0.25">
      <c r="A81" s="45"/>
      <c r="B81" s="47">
        <v>81</v>
      </c>
      <c r="C81" s="47" t="s">
        <v>295</v>
      </c>
      <c r="D81" s="66" t="s">
        <v>296</v>
      </c>
      <c r="E81" s="67" t="s">
        <v>134</v>
      </c>
      <c r="F81" s="68" t="s">
        <v>556</v>
      </c>
      <c r="G81" s="49" t="s">
        <v>209</v>
      </c>
      <c r="H81" s="49" t="s">
        <v>133</v>
      </c>
      <c r="I81" s="69"/>
      <c r="J81" s="70"/>
      <c r="K81" s="70"/>
    </row>
    <row r="82" spans="1:11" s="71" customFormat="1" ht="13.8" customHeight="1" x14ac:dyDescent="0.25">
      <c r="A82" s="45"/>
      <c r="B82" s="47">
        <v>82</v>
      </c>
      <c r="C82" s="47" t="s">
        <v>378</v>
      </c>
      <c r="D82" s="66" t="s">
        <v>379</v>
      </c>
      <c r="E82" s="67" t="s">
        <v>134</v>
      </c>
      <c r="F82" s="68" t="s">
        <v>557</v>
      </c>
      <c r="G82" s="49" t="s">
        <v>209</v>
      </c>
      <c r="H82" s="49" t="s">
        <v>133</v>
      </c>
      <c r="I82" s="69"/>
      <c r="J82" s="70"/>
      <c r="K82" s="70"/>
    </row>
    <row r="83" spans="1:11" s="71" customFormat="1" ht="13.8" customHeight="1" x14ac:dyDescent="0.25">
      <c r="A83" s="45"/>
      <c r="B83" s="47">
        <v>83</v>
      </c>
      <c r="C83" s="47" t="s">
        <v>389</v>
      </c>
      <c r="D83" s="66" t="s">
        <v>390</v>
      </c>
      <c r="E83" s="67" t="s">
        <v>134</v>
      </c>
      <c r="F83" s="68" t="s">
        <v>558</v>
      </c>
      <c r="G83" s="49" t="s">
        <v>209</v>
      </c>
      <c r="H83" s="49" t="s">
        <v>133</v>
      </c>
      <c r="I83" s="69"/>
      <c r="J83" s="70"/>
      <c r="K83" s="70"/>
    </row>
    <row r="84" spans="1:11" s="71" customFormat="1" ht="13.8" customHeight="1" x14ac:dyDescent="0.25">
      <c r="A84" s="45"/>
      <c r="B84" s="47">
        <v>84</v>
      </c>
      <c r="C84" s="47" t="s">
        <v>419</v>
      </c>
      <c r="D84" s="66" t="s">
        <v>420</v>
      </c>
      <c r="E84" s="67" t="s">
        <v>134</v>
      </c>
      <c r="F84" s="68" t="s">
        <v>559</v>
      </c>
      <c r="G84" s="49" t="s">
        <v>209</v>
      </c>
      <c r="H84" s="49" t="s">
        <v>133</v>
      </c>
      <c r="I84" s="69"/>
      <c r="J84" s="70"/>
      <c r="K84" s="70"/>
    </row>
    <row r="85" spans="1:11" s="71" customFormat="1" ht="13.8" customHeight="1" x14ac:dyDescent="0.25">
      <c r="A85" s="45"/>
      <c r="B85" s="47">
        <v>85</v>
      </c>
      <c r="C85" s="47" t="s">
        <v>452</v>
      </c>
      <c r="D85" s="66" t="s">
        <v>453</v>
      </c>
      <c r="E85" s="67" t="s">
        <v>134</v>
      </c>
      <c r="F85" s="68" t="s">
        <v>560</v>
      </c>
      <c r="G85" s="49" t="s">
        <v>217</v>
      </c>
      <c r="H85" s="49" t="s">
        <v>133</v>
      </c>
      <c r="I85" s="69"/>
      <c r="J85" s="70"/>
      <c r="K85" s="70"/>
    </row>
    <row r="86" spans="1:11" s="71" customFormat="1" ht="13.8" customHeight="1" x14ac:dyDescent="0.25">
      <c r="A86" s="45"/>
      <c r="B86" s="47">
        <v>86</v>
      </c>
      <c r="C86" s="47" t="s">
        <v>408</v>
      </c>
      <c r="D86" s="66" t="s">
        <v>409</v>
      </c>
      <c r="E86" s="67" t="s">
        <v>134</v>
      </c>
      <c r="F86" s="68" t="s">
        <v>561</v>
      </c>
      <c r="G86" s="49" t="s">
        <v>209</v>
      </c>
      <c r="H86" s="49" t="s">
        <v>133</v>
      </c>
      <c r="I86" s="69"/>
      <c r="J86" s="70"/>
      <c r="K86" s="70"/>
    </row>
    <row r="87" spans="1:11" s="71" customFormat="1" ht="13.8" customHeight="1" x14ac:dyDescent="0.25">
      <c r="A87" s="45"/>
      <c r="B87" s="47">
        <v>91</v>
      </c>
      <c r="C87" s="47" t="s">
        <v>240</v>
      </c>
      <c r="D87" s="66" t="s">
        <v>241</v>
      </c>
      <c r="E87" s="67" t="s">
        <v>242</v>
      </c>
      <c r="F87" s="68" t="s">
        <v>562</v>
      </c>
      <c r="G87" s="49" t="s">
        <v>209</v>
      </c>
      <c r="H87" s="49" t="s">
        <v>243</v>
      </c>
      <c r="I87" s="69"/>
      <c r="J87" s="70"/>
      <c r="K87" s="70"/>
    </row>
    <row r="88" spans="1:11" s="71" customFormat="1" ht="13.8" customHeight="1" x14ac:dyDescent="0.25">
      <c r="A88" s="45"/>
      <c r="B88" s="47">
        <v>92</v>
      </c>
      <c r="C88" s="47" t="s">
        <v>264</v>
      </c>
      <c r="D88" s="66" t="s">
        <v>265</v>
      </c>
      <c r="E88" s="67" t="s">
        <v>242</v>
      </c>
      <c r="F88" s="68" t="s">
        <v>563</v>
      </c>
      <c r="G88" s="49" t="s">
        <v>213</v>
      </c>
      <c r="H88" s="49" t="s">
        <v>243</v>
      </c>
      <c r="I88" s="69"/>
      <c r="J88" s="70"/>
      <c r="K88" s="70"/>
    </row>
    <row r="89" spans="1:11" s="71" customFormat="1" ht="13.8" customHeight="1" x14ac:dyDescent="0.25">
      <c r="A89" s="45"/>
      <c r="B89" s="47">
        <v>93</v>
      </c>
      <c r="C89" s="47" t="s">
        <v>284</v>
      </c>
      <c r="D89" s="66" t="s">
        <v>285</v>
      </c>
      <c r="E89" s="67" t="s">
        <v>242</v>
      </c>
      <c r="F89" s="68" t="s">
        <v>564</v>
      </c>
      <c r="G89" s="49" t="s">
        <v>213</v>
      </c>
      <c r="H89" s="49" t="s">
        <v>243</v>
      </c>
      <c r="I89" s="69"/>
      <c r="J89" s="70"/>
      <c r="K89" s="70"/>
    </row>
    <row r="90" spans="1:11" s="71" customFormat="1" ht="13.8" customHeight="1" x14ac:dyDescent="0.25">
      <c r="A90" s="45"/>
      <c r="B90" s="47">
        <v>94</v>
      </c>
      <c r="C90" s="47" t="s">
        <v>303</v>
      </c>
      <c r="D90" s="66" t="s">
        <v>304</v>
      </c>
      <c r="E90" s="67" t="s">
        <v>242</v>
      </c>
      <c r="F90" s="68" t="s">
        <v>565</v>
      </c>
      <c r="G90" s="49" t="s">
        <v>217</v>
      </c>
      <c r="H90" s="49" t="s">
        <v>243</v>
      </c>
      <c r="I90" s="69"/>
      <c r="J90" s="70"/>
      <c r="K90" s="70"/>
    </row>
    <row r="91" spans="1:11" s="71" customFormat="1" ht="13.8" customHeight="1" x14ac:dyDescent="0.25">
      <c r="A91" s="45"/>
      <c r="B91" s="47">
        <v>95</v>
      </c>
      <c r="C91" s="47" t="s">
        <v>360</v>
      </c>
      <c r="D91" s="66" t="s">
        <v>361</v>
      </c>
      <c r="E91" s="67" t="s">
        <v>242</v>
      </c>
      <c r="F91" s="68" t="s">
        <v>566</v>
      </c>
      <c r="G91" s="49" t="s">
        <v>209</v>
      </c>
      <c r="H91" s="49" t="s">
        <v>243</v>
      </c>
      <c r="I91" s="69"/>
      <c r="J91" s="70"/>
      <c r="K91" s="70"/>
    </row>
    <row r="92" spans="1:11" s="71" customFormat="1" ht="13.8" customHeight="1" x14ac:dyDescent="0.25">
      <c r="A92" s="45"/>
      <c r="B92" s="47">
        <v>96</v>
      </c>
      <c r="C92" s="47" t="s">
        <v>567</v>
      </c>
      <c r="D92" s="66" t="s">
        <v>568</v>
      </c>
      <c r="E92" s="67" t="s">
        <v>242</v>
      </c>
      <c r="F92" s="68" t="s">
        <v>569</v>
      </c>
      <c r="G92" s="49" t="s">
        <v>570</v>
      </c>
      <c r="H92" s="49" t="s">
        <v>243</v>
      </c>
      <c r="I92" s="69"/>
      <c r="J92" s="70"/>
      <c r="K92" s="70"/>
    </row>
    <row r="93" spans="1:11" s="71" customFormat="1" ht="13.8" customHeight="1" x14ac:dyDescent="0.25">
      <c r="A93" s="45"/>
      <c r="B93" s="47">
        <v>101</v>
      </c>
      <c r="C93" s="47" t="s">
        <v>342</v>
      </c>
      <c r="D93" s="66" t="s">
        <v>343</v>
      </c>
      <c r="E93" s="67" t="s">
        <v>328</v>
      </c>
      <c r="F93" s="68" t="s">
        <v>344</v>
      </c>
      <c r="G93" s="49" t="s">
        <v>217</v>
      </c>
      <c r="H93" s="49" t="s">
        <v>39</v>
      </c>
      <c r="I93" s="69"/>
      <c r="J93" s="70"/>
      <c r="K93" s="70"/>
    </row>
    <row r="94" spans="1:11" s="71" customFormat="1" ht="13.8" customHeight="1" x14ac:dyDescent="0.25">
      <c r="A94" s="45"/>
      <c r="B94" s="47">
        <v>102</v>
      </c>
      <c r="C94" s="47" t="s">
        <v>367</v>
      </c>
      <c r="D94" s="66" t="s">
        <v>368</v>
      </c>
      <c r="E94" s="67" t="s">
        <v>328</v>
      </c>
      <c r="F94" s="68" t="s">
        <v>369</v>
      </c>
      <c r="G94" s="49" t="s">
        <v>217</v>
      </c>
      <c r="H94" s="49" t="s">
        <v>39</v>
      </c>
      <c r="I94" s="69"/>
      <c r="J94" s="70"/>
      <c r="K94" s="70"/>
    </row>
    <row r="95" spans="1:11" s="71" customFormat="1" ht="13.8" customHeight="1" x14ac:dyDescent="0.25">
      <c r="A95" s="45"/>
      <c r="B95" s="47">
        <v>103</v>
      </c>
      <c r="C95" s="47" t="s">
        <v>380</v>
      </c>
      <c r="D95" s="66" t="s">
        <v>381</v>
      </c>
      <c r="E95" s="67" t="s">
        <v>328</v>
      </c>
      <c r="F95" s="68" t="s">
        <v>382</v>
      </c>
      <c r="G95" s="49" t="s">
        <v>217</v>
      </c>
      <c r="H95" s="49" t="s">
        <v>39</v>
      </c>
      <c r="I95" s="69"/>
      <c r="J95" s="70"/>
      <c r="K95" s="70"/>
    </row>
    <row r="96" spans="1:11" s="71" customFormat="1" ht="13.8" customHeight="1" x14ac:dyDescent="0.25">
      <c r="A96" s="45"/>
      <c r="B96" s="47">
        <v>104</v>
      </c>
      <c r="C96" s="47" t="s">
        <v>447</v>
      </c>
      <c r="D96" s="66" t="s">
        <v>448</v>
      </c>
      <c r="E96" s="67" t="s">
        <v>328</v>
      </c>
      <c r="F96" s="68" t="s">
        <v>449</v>
      </c>
      <c r="G96" s="49" t="s">
        <v>217</v>
      </c>
      <c r="H96" s="49" t="s">
        <v>39</v>
      </c>
      <c r="I96" s="69"/>
      <c r="J96" s="70"/>
      <c r="K96" s="70"/>
    </row>
    <row r="97" spans="1:11" s="71" customFormat="1" ht="13.8" customHeight="1" x14ac:dyDescent="0.25">
      <c r="A97" s="45"/>
      <c r="B97" s="47">
        <v>105</v>
      </c>
      <c r="C97" s="47" t="s">
        <v>464</v>
      </c>
      <c r="D97" s="66" t="s">
        <v>465</v>
      </c>
      <c r="E97" s="67" t="s">
        <v>328</v>
      </c>
      <c r="F97" s="68" t="s">
        <v>466</v>
      </c>
      <c r="G97" s="49" t="s">
        <v>209</v>
      </c>
      <c r="H97" s="49" t="s">
        <v>39</v>
      </c>
      <c r="I97" s="69"/>
      <c r="J97" s="70"/>
      <c r="K97" s="70"/>
    </row>
    <row r="98" spans="1:11" s="71" customFormat="1" ht="13.8" customHeight="1" x14ac:dyDescent="0.25">
      <c r="A98" s="45"/>
      <c r="B98" s="47">
        <v>106</v>
      </c>
      <c r="C98" s="47" t="s">
        <v>281</v>
      </c>
      <c r="D98" s="66" t="s">
        <v>282</v>
      </c>
      <c r="E98" s="67" t="s">
        <v>328</v>
      </c>
      <c r="F98" s="68" t="s">
        <v>283</v>
      </c>
      <c r="G98" s="49" t="s">
        <v>209</v>
      </c>
      <c r="H98" s="49" t="s">
        <v>39</v>
      </c>
      <c r="I98" s="69"/>
      <c r="J98" s="70"/>
      <c r="K98" s="70"/>
    </row>
    <row r="99" spans="1:11" s="71" customFormat="1" ht="13.8" customHeight="1" x14ac:dyDescent="0.25">
      <c r="A99" s="45"/>
      <c r="B99" s="47">
        <v>111</v>
      </c>
      <c r="C99" s="47" t="s">
        <v>223</v>
      </c>
      <c r="D99" s="66" t="s">
        <v>224</v>
      </c>
      <c r="E99" s="67" t="s">
        <v>618</v>
      </c>
      <c r="F99" s="68">
        <v>20355</v>
      </c>
      <c r="G99" s="49" t="s">
        <v>209</v>
      </c>
      <c r="H99" s="49" t="s">
        <v>571</v>
      </c>
      <c r="I99" s="69"/>
      <c r="J99" s="70"/>
      <c r="K99" s="70"/>
    </row>
    <row r="100" spans="1:11" s="71" customFormat="1" ht="13.8" customHeight="1" x14ac:dyDescent="0.25">
      <c r="A100" s="45"/>
      <c r="B100" s="47">
        <v>112</v>
      </c>
      <c r="C100" s="47" t="s">
        <v>262</v>
      </c>
      <c r="D100" s="66" t="s">
        <v>263</v>
      </c>
      <c r="E100" s="67" t="s">
        <v>618</v>
      </c>
      <c r="F100" s="68">
        <v>8397</v>
      </c>
      <c r="G100" s="49" t="s">
        <v>209</v>
      </c>
      <c r="H100" s="49" t="s">
        <v>571</v>
      </c>
      <c r="I100" s="69"/>
      <c r="J100" s="70"/>
      <c r="K100" s="70"/>
    </row>
    <row r="101" spans="1:11" s="71" customFormat="1" ht="13.8" customHeight="1" x14ac:dyDescent="0.25">
      <c r="A101" s="45"/>
      <c r="B101" s="47">
        <v>113</v>
      </c>
      <c r="C101" s="47" t="s">
        <v>397</v>
      </c>
      <c r="D101" s="66" t="s">
        <v>398</v>
      </c>
      <c r="E101" s="67" t="s">
        <v>618</v>
      </c>
      <c r="F101" s="68">
        <v>9535</v>
      </c>
      <c r="G101" s="49" t="s">
        <v>209</v>
      </c>
      <c r="H101" s="49" t="s">
        <v>571</v>
      </c>
      <c r="I101" s="69"/>
      <c r="J101" s="70"/>
      <c r="K101" s="70"/>
    </row>
    <row r="102" spans="1:11" s="71" customFormat="1" ht="13.8" customHeight="1" x14ac:dyDescent="0.25">
      <c r="A102" s="45"/>
      <c r="B102" s="47">
        <v>114</v>
      </c>
      <c r="C102" s="47" t="s">
        <v>437</v>
      </c>
      <c r="D102" s="66" t="s">
        <v>438</v>
      </c>
      <c r="E102" s="67" t="s">
        <v>618</v>
      </c>
      <c r="F102" s="68">
        <v>19867</v>
      </c>
      <c r="G102" s="49" t="s">
        <v>213</v>
      </c>
      <c r="H102" s="49" t="s">
        <v>571</v>
      </c>
      <c r="I102" s="69"/>
      <c r="J102" s="70"/>
      <c r="K102" s="70"/>
    </row>
    <row r="103" spans="1:11" s="71" customFormat="1" ht="13.8" customHeight="1" x14ac:dyDescent="0.25">
      <c r="A103" s="45"/>
      <c r="B103" s="47">
        <v>115</v>
      </c>
      <c r="C103" s="47" t="s">
        <v>311</v>
      </c>
      <c r="D103" s="66" t="s">
        <v>312</v>
      </c>
      <c r="E103" s="67" t="s">
        <v>619</v>
      </c>
      <c r="F103" s="68">
        <v>9185</v>
      </c>
      <c r="G103" s="49" t="s">
        <v>209</v>
      </c>
      <c r="H103" s="49" t="s">
        <v>571</v>
      </c>
      <c r="I103" s="69"/>
      <c r="J103" s="70"/>
      <c r="K103" s="70"/>
    </row>
    <row r="104" spans="1:11" s="71" customFormat="1" ht="13.8" customHeight="1" x14ac:dyDescent="0.25">
      <c r="A104" s="45"/>
      <c r="B104" s="47">
        <v>116</v>
      </c>
      <c r="C104" s="47" t="s">
        <v>351</v>
      </c>
      <c r="D104" s="66" t="s">
        <v>352</v>
      </c>
      <c r="E104" s="67" t="s">
        <v>619</v>
      </c>
      <c r="F104" s="68">
        <v>19875</v>
      </c>
      <c r="G104" s="49" t="s">
        <v>213</v>
      </c>
      <c r="H104" s="49" t="s">
        <v>571</v>
      </c>
      <c r="I104" s="69"/>
      <c r="J104" s="70"/>
      <c r="K104" s="70"/>
    </row>
    <row r="105" spans="1:11" s="71" customFormat="1" ht="13.8" customHeight="1" x14ac:dyDescent="0.25">
      <c r="A105" s="45"/>
      <c r="B105" s="47">
        <v>117</v>
      </c>
      <c r="C105" s="47" t="s">
        <v>435</v>
      </c>
      <c r="D105" s="66" t="s">
        <v>436</v>
      </c>
      <c r="E105" s="67" t="s">
        <v>620</v>
      </c>
      <c r="F105" s="68">
        <v>9623</v>
      </c>
      <c r="G105" s="49" t="s">
        <v>217</v>
      </c>
      <c r="H105" s="49" t="s">
        <v>571</v>
      </c>
      <c r="I105" s="69"/>
      <c r="J105" s="70"/>
      <c r="K105" s="70"/>
    </row>
    <row r="106" spans="1:11" s="71" customFormat="1" ht="13.8" customHeight="1" x14ac:dyDescent="0.25">
      <c r="A106" s="45"/>
      <c r="B106" s="47">
        <v>118</v>
      </c>
      <c r="C106" s="47" t="s">
        <v>349</v>
      </c>
      <c r="D106" s="66" t="s">
        <v>350</v>
      </c>
      <c r="E106" s="67" t="s">
        <v>621</v>
      </c>
      <c r="F106" s="68">
        <v>9167</v>
      </c>
      <c r="G106" s="49" t="s">
        <v>217</v>
      </c>
      <c r="H106" s="49" t="s">
        <v>571</v>
      </c>
      <c r="I106" s="69"/>
      <c r="J106" s="70"/>
      <c r="K106" s="70"/>
    </row>
    <row r="107" spans="1:11" s="71" customFormat="1" ht="13.8" customHeight="1" x14ac:dyDescent="0.25">
      <c r="A107" s="45"/>
      <c r="B107" s="47">
        <v>119</v>
      </c>
      <c r="C107" s="47" t="s">
        <v>450</v>
      </c>
      <c r="D107" s="66" t="s">
        <v>451</v>
      </c>
      <c r="E107" s="67" t="s">
        <v>621</v>
      </c>
      <c r="F107" s="68">
        <v>19421</v>
      </c>
      <c r="G107" s="49" t="s">
        <v>213</v>
      </c>
      <c r="H107" s="49" t="s">
        <v>571</v>
      </c>
      <c r="I107" s="69"/>
      <c r="J107" s="70"/>
      <c r="K107" s="70"/>
    </row>
    <row r="108" spans="1:11" s="71" customFormat="1" ht="13.8" customHeight="1" x14ac:dyDescent="0.25">
      <c r="A108" s="45"/>
      <c r="B108" s="47">
        <v>121</v>
      </c>
      <c r="C108" s="47" t="s">
        <v>305</v>
      </c>
      <c r="D108" s="66" t="s">
        <v>306</v>
      </c>
      <c r="E108" s="67" t="s">
        <v>622</v>
      </c>
      <c r="F108" s="68">
        <v>14334</v>
      </c>
      <c r="G108" s="49" t="s">
        <v>213</v>
      </c>
      <c r="H108" s="49" t="s">
        <v>300</v>
      </c>
      <c r="I108" s="69"/>
      <c r="J108" s="70"/>
      <c r="K108" s="70"/>
    </row>
    <row r="109" spans="1:11" s="71" customFormat="1" ht="13.8" customHeight="1" x14ac:dyDescent="0.25">
      <c r="A109" s="45"/>
      <c r="B109" s="47">
        <v>122</v>
      </c>
      <c r="C109" s="47" t="s">
        <v>307</v>
      </c>
      <c r="D109" s="66" t="s">
        <v>308</v>
      </c>
      <c r="E109" s="67" t="s">
        <v>622</v>
      </c>
      <c r="F109" s="68">
        <v>19500</v>
      </c>
      <c r="G109" s="49" t="s">
        <v>209</v>
      </c>
      <c r="H109" s="49" t="s">
        <v>300</v>
      </c>
      <c r="I109" s="69"/>
      <c r="J109" s="70"/>
      <c r="K109" s="70"/>
    </row>
    <row r="110" spans="1:11" s="71" customFormat="1" ht="13.8" customHeight="1" x14ac:dyDescent="0.25">
      <c r="A110" s="45"/>
      <c r="B110" s="47">
        <v>123</v>
      </c>
      <c r="C110" s="47" t="s">
        <v>439</v>
      </c>
      <c r="D110" s="66" t="s">
        <v>440</v>
      </c>
      <c r="E110" s="67" t="s">
        <v>622</v>
      </c>
      <c r="F110" s="68">
        <v>20008</v>
      </c>
      <c r="G110" s="49" t="s">
        <v>209</v>
      </c>
      <c r="H110" s="49" t="s">
        <v>300</v>
      </c>
      <c r="I110" s="69"/>
      <c r="J110" s="70"/>
      <c r="K110" s="70"/>
    </row>
    <row r="111" spans="1:11" s="71" customFormat="1" ht="13.8" customHeight="1" x14ac:dyDescent="0.25">
      <c r="A111" s="45"/>
      <c r="B111" s="47">
        <v>124</v>
      </c>
      <c r="C111" s="47" t="s">
        <v>297</v>
      </c>
      <c r="D111" s="66" t="s">
        <v>298</v>
      </c>
      <c r="E111" s="67" t="s">
        <v>623</v>
      </c>
      <c r="F111" s="68">
        <v>5778</v>
      </c>
      <c r="G111" s="49" t="s">
        <v>299</v>
      </c>
      <c r="H111" s="49" t="s">
        <v>300</v>
      </c>
      <c r="I111" s="69"/>
      <c r="J111" s="70"/>
      <c r="K111" s="70"/>
    </row>
    <row r="112" spans="1:11" s="71" customFormat="1" ht="13.8" customHeight="1" x14ac:dyDescent="0.25">
      <c r="A112" s="45"/>
      <c r="B112" s="47">
        <v>125</v>
      </c>
      <c r="C112" s="47" t="s">
        <v>259</v>
      </c>
      <c r="D112" s="66" t="s">
        <v>572</v>
      </c>
      <c r="E112" s="67" t="s">
        <v>622</v>
      </c>
      <c r="F112" s="68">
        <v>14424</v>
      </c>
      <c r="G112" s="49" t="s">
        <v>213</v>
      </c>
      <c r="H112" s="49" t="s">
        <v>300</v>
      </c>
      <c r="I112" s="69"/>
      <c r="J112" s="70"/>
      <c r="K112" s="70"/>
    </row>
    <row r="113" spans="1:11" s="71" customFormat="1" ht="13.8" customHeight="1" x14ac:dyDescent="0.25">
      <c r="A113" s="45"/>
      <c r="B113" s="47">
        <v>126</v>
      </c>
      <c r="C113" s="47" t="s">
        <v>362</v>
      </c>
      <c r="D113" s="66" t="s">
        <v>363</v>
      </c>
      <c r="E113" s="67" t="s">
        <v>624</v>
      </c>
      <c r="F113" s="68">
        <v>14658</v>
      </c>
      <c r="G113" s="49" t="s">
        <v>217</v>
      </c>
      <c r="H113" s="49" t="s">
        <v>300</v>
      </c>
      <c r="I113" s="69"/>
      <c r="J113" s="70"/>
      <c r="K113" s="70"/>
    </row>
    <row r="114" spans="1:11" s="71" customFormat="1" ht="13.8" customHeight="1" x14ac:dyDescent="0.25">
      <c r="A114" s="45"/>
      <c r="B114" s="47">
        <v>127</v>
      </c>
      <c r="C114" s="47" t="s">
        <v>460</v>
      </c>
      <c r="D114" s="66" t="s">
        <v>461</v>
      </c>
      <c r="E114" s="67" t="s">
        <v>624</v>
      </c>
      <c r="F114" s="68">
        <v>10306</v>
      </c>
      <c r="G114" s="49" t="s">
        <v>213</v>
      </c>
      <c r="H114" s="49" t="s">
        <v>300</v>
      </c>
      <c r="I114" s="69"/>
      <c r="J114" s="70"/>
      <c r="K114" s="70"/>
    </row>
    <row r="115" spans="1:11" s="71" customFormat="1" ht="13.8" customHeight="1" x14ac:dyDescent="0.25">
      <c r="A115" s="45"/>
      <c r="B115" s="47">
        <v>131</v>
      </c>
      <c r="C115" s="47" t="s">
        <v>573</v>
      </c>
      <c r="D115" s="66" t="s">
        <v>574</v>
      </c>
      <c r="E115" s="67" t="s">
        <v>625</v>
      </c>
      <c r="F115" s="68" t="s">
        <v>575</v>
      </c>
      <c r="G115" s="49" t="s">
        <v>213</v>
      </c>
      <c r="H115" s="49" t="s">
        <v>576</v>
      </c>
      <c r="I115" s="69"/>
      <c r="J115" s="70"/>
      <c r="K115" s="70"/>
    </row>
    <row r="116" spans="1:11" s="71" customFormat="1" ht="13.8" customHeight="1" x14ac:dyDescent="0.25">
      <c r="A116" s="45"/>
      <c r="B116" s="47">
        <v>132</v>
      </c>
      <c r="C116" s="47" t="s">
        <v>577</v>
      </c>
      <c r="D116" s="66" t="s">
        <v>578</v>
      </c>
      <c r="E116" s="67" t="s">
        <v>625</v>
      </c>
      <c r="F116" s="68" t="s">
        <v>579</v>
      </c>
      <c r="G116" s="49" t="s">
        <v>209</v>
      </c>
      <c r="H116" s="49" t="s">
        <v>576</v>
      </c>
      <c r="I116" s="69"/>
      <c r="J116" s="70"/>
      <c r="K116" s="70"/>
    </row>
    <row r="117" spans="1:11" s="71" customFormat="1" ht="13.8" customHeight="1" x14ac:dyDescent="0.25">
      <c r="A117" s="45"/>
      <c r="B117" s="47">
        <v>133</v>
      </c>
      <c r="C117" s="47" t="s">
        <v>580</v>
      </c>
      <c r="D117" s="66" t="s">
        <v>581</v>
      </c>
      <c r="E117" s="67" t="s">
        <v>625</v>
      </c>
      <c r="F117" s="68" t="s">
        <v>582</v>
      </c>
      <c r="G117" s="49" t="s">
        <v>209</v>
      </c>
      <c r="H117" s="49" t="s">
        <v>576</v>
      </c>
      <c r="I117" s="69"/>
      <c r="J117" s="70"/>
      <c r="K117" s="70"/>
    </row>
    <row r="118" spans="1:11" s="71" customFormat="1" ht="13.8" customHeight="1" x14ac:dyDescent="0.25">
      <c r="A118" s="45"/>
      <c r="B118" s="47">
        <v>134</v>
      </c>
      <c r="C118" s="47" t="s">
        <v>583</v>
      </c>
      <c r="D118" s="66" t="s">
        <v>584</v>
      </c>
      <c r="E118" s="67" t="s">
        <v>625</v>
      </c>
      <c r="F118" s="68" t="s">
        <v>585</v>
      </c>
      <c r="G118" s="49" t="s">
        <v>570</v>
      </c>
      <c r="H118" s="49" t="s">
        <v>576</v>
      </c>
      <c r="I118" s="69"/>
      <c r="J118" s="70"/>
      <c r="K118" s="70"/>
    </row>
    <row r="119" spans="1:11" s="71" customFormat="1" ht="13.8" customHeight="1" x14ac:dyDescent="0.25">
      <c r="A119" s="45"/>
      <c r="B119" s="47">
        <v>135</v>
      </c>
      <c r="C119" s="47" t="s">
        <v>586</v>
      </c>
      <c r="D119" s="66" t="s">
        <v>587</v>
      </c>
      <c r="E119" s="67" t="s">
        <v>625</v>
      </c>
      <c r="F119" s="68" t="s">
        <v>588</v>
      </c>
      <c r="G119" s="49" t="s">
        <v>570</v>
      </c>
      <c r="H119" s="49" t="s">
        <v>576</v>
      </c>
      <c r="I119" s="69"/>
      <c r="J119" s="70"/>
      <c r="K119" s="70"/>
    </row>
    <row r="120" spans="1:11" s="71" customFormat="1" ht="13.8" customHeight="1" x14ac:dyDescent="0.25">
      <c r="A120" s="45"/>
      <c r="B120" s="47">
        <v>136</v>
      </c>
      <c r="C120" s="47" t="s">
        <v>326</v>
      </c>
      <c r="D120" s="66" t="s">
        <v>327</v>
      </c>
      <c r="E120" s="67" t="s">
        <v>625</v>
      </c>
      <c r="F120" s="68" t="s">
        <v>329</v>
      </c>
      <c r="G120" s="49" t="s">
        <v>209</v>
      </c>
      <c r="H120" s="49" t="s">
        <v>576</v>
      </c>
      <c r="I120" s="69"/>
      <c r="J120" s="70"/>
      <c r="K120" s="70"/>
    </row>
    <row r="121" spans="1:11" s="71" customFormat="1" ht="13.8" customHeight="1" x14ac:dyDescent="0.25">
      <c r="A121" s="45"/>
      <c r="B121" s="47">
        <v>137</v>
      </c>
      <c r="C121" s="47" t="s">
        <v>589</v>
      </c>
      <c r="D121" s="66" t="s">
        <v>590</v>
      </c>
      <c r="E121" s="67" t="s">
        <v>625</v>
      </c>
      <c r="F121" s="68" t="s">
        <v>591</v>
      </c>
      <c r="G121" s="49" t="s">
        <v>217</v>
      </c>
      <c r="H121" s="49" t="s">
        <v>576</v>
      </c>
      <c r="I121" s="69"/>
      <c r="J121" s="70"/>
      <c r="K121" s="70"/>
    </row>
    <row r="122" spans="1:11" s="71" customFormat="1" ht="13.8" customHeight="1" x14ac:dyDescent="0.25">
      <c r="A122" s="45"/>
      <c r="B122" s="47">
        <v>138</v>
      </c>
      <c r="C122" s="47" t="s">
        <v>233</v>
      </c>
      <c r="D122" s="66" t="s">
        <v>234</v>
      </c>
      <c r="E122" s="67" t="s">
        <v>626</v>
      </c>
      <c r="F122" s="68" t="s">
        <v>592</v>
      </c>
      <c r="G122" s="49" t="s">
        <v>217</v>
      </c>
      <c r="H122" s="49" t="s">
        <v>576</v>
      </c>
      <c r="I122" s="69"/>
      <c r="J122" s="70"/>
      <c r="K122" s="70"/>
    </row>
    <row r="123" spans="1:11" s="71" customFormat="1" ht="13.8" customHeight="1" x14ac:dyDescent="0.25">
      <c r="A123" s="45"/>
      <c r="B123" s="47">
        <v>139</v>
      </c>
      <c r="C123" s="47" t="s">
        <v>399</v>
      </c>
      <c r="D123" s="66" t="s">
        <v>400</v>
      </c>
      <c r="E123" s="67" t="s">
        <v>626</v>
      </c>
      <c r="F123" s="68" t="s">
        <v>593</v>
      </c>
      <c r="G123" s="49" t="s">
        <v>209</v>
      </c>
      <c r="H123" s="49" t="s">
        <v>576</v>
      </c>
      <c r="I123" s="69"/>
      <c r="J123" s="70"/>
      <c r="K123" s="70"/>
    </row>
    <row r="124" spans="1:11" s="71" customFormat="1" ht="13.8" customHeight="1" x14ac:dyDescent="0.25">
      <c r="A124" s="45"/>
      <c r="B124" s="47">
        <v>140</v>
      </c>
      <c r="C124" s="47" t="s">
        <v>427</v>
      </c>
      <c r="D124" s="66" t="s">
        <v>428</v>
      </c>
      <c r="E124" s="67" t="s">
        <v>626</v>
      </c>
      <c r="F124" s="68" t="s">
        <v>594</v>
      </c>
      <c r="G124" s="49" t="s">
        <v>217</v>
      </c>
      <c r="H124" s="49" t="s">
        <v>576</v>
      </c>
      <c r="I124" s="69"/>
      <c r="J124" s="70"/>
      <c r="K124" s="70"/>
    </row>
    <row r="125" spans="1:11" s="71" customFormat="1" ht="13.8" customHeight="1" x14ac:dyDescent="0.25">
      <c r="A125" s="45"/>
      <c r="B125" s="47">
        <v>141</v>
      </c>
      <c r="C125" s="47" t="s">
        <v>595</v>
      </c>
      <c r="D125" s="66" t="s">
        <v>596</v>
      </c>
      <c r="E125" s="67" t="s">
        <v>627</v>
      </c>
      <c r="F125" s="68" t="s">
        <v>597</v>
      </c>
      <c r="G125" s="49" t="s">
        <v>213</v>
      </c>
      <c r="H125" s="49" t="s">
        <v>38</v>
      </c>
      <c r="I125" s="69"/>
      <c r="J125" s="70"/>
      <c r="K125" s="70"/>
    </row>
    <row r="126" spans="1:11" s="71" customFormat="1" ht="13.8" customHeight="1" x14ac:dyDescent="0.25">
      <c r="A126" s="45"/>
      <c r="B126" s="47">
        <v>142</v>
      </c>
      <c r="C126" s="47" t="s">
        <v>246</v>
      </c>
      <c r="D126" s="66" t="s">
        <v>247</v>
      </c>
      <c r="E126" s="67" t="s">
        <v>627</v>
      </c>
      <c r="F126" s="68" t="s">
        <v>248</v>
      </c>
      <c r="G126" s="49" t="s">
        <v>213</v>
      </c>
      <c r="H126" s="49" t="s">
        <v>38</v>
      </c>
      <c r="I126" s="69"/>
      <c r="J126" s="70"/>
      <c r="K126" s="70"/>
    </row>
    <row r="127" spans="1:11" s="71" customFormat="1" ht="13.8" customHeight="1" x14ac:dyDescent="0.25">
      <c r="A127" s="45"/>
      <c r="B127" s="47">
        <v>143</v>
      </c>
      <c r="C127" s="47" t="s">
        <v>317</v>
      </c>
      <c r="D127" s="66" t="s">
        <v>318</v>
      </c>
      <c r="E127" s="67" t="s">
        <v>627</v>
      </c>
      <c r="F127" s="68" t="s">
        <v>319</v>
      </c>
      <c r="G127" s="49" t="s">
        <v>213</v>
      </c>
      <c r="H127" s="49" t="s">
        <v>38</v>
      </c>
      <c r="I127" s="69"/>
      <c r="J127" s="70"/>
      <c r="K127" s="70"/>
    </row>
    <row r="128" spans="1:11" s="71" customFormat="1" ht="13.8" customHeight="1" x14ac:dyDescent="0.25">
      <c r="A128" s="45"/>
      <c r="B128" s="47">
        <v>144</v>
      </c>
      <c r="C128" s="47" t="s">
        <v>405</v>
      </c>
      <c r="D128" s="66" t="s">
        <v>406</v>
      </c>
      <c r="E128" s="67" t="s">
        <v>627</v>
      </c>
      <c r="F128" s="68" t="s">
        <v>407</v>
      </c>
      <c r="G128" s="49" t="s">
        <v>209</v>
      </c>
      <c r="H128" s="49" t="s">
        <v>38</v>
      </c>
      <c r="I128" s="69"/>
      <c r="J128" s="70"/>
      <c r="K128" s="70"/>
    </row>
    <row r="129" spans="1:11" s="71" customFormat="1" ht="13.8" customHeight="1" x14ac:dyDescent="0.25">
      <c r="A129" s="45"/>
      <c r="B129" s="47">
        <v>145</v>
      </c>
      <c r="C129" s="47" t="s">
        <v>251</v>
      </c>
      <c r="D129" s="66" t="s">
        <v>252</v>
      </c>
      <c r="E129" s="67" t="s">
        <v>628</v>
      </c>
      <c r="F129" s="68">
        <v>20840</v>
      </c>
      <c r="G129" s="49" t="s">
        <v>209</v>
      </c>
      <c r="H129" s="49" t="s">
        <v>38</v>
      </c>
      <c r="I129" s="69"/>
      <c r="J129" s="70"/>
      <c r="K129" s="70"/>
    </row>
    <row r="130" spans="1:11" s="71" customFormat="1" ht="13.8" customHeight="1" x14ac:dyDescent="0.25">
      <c r="A130" s="45"/>
      <c r="B130" s="47">
        <v>146</v>
      </c>
      <c r="C130" s="47" t="s">
        <v>268</v>
      </c>
      <c r="D130" s="66" t="s">
        <v>269</v>
      </c>
      <c r="E130" s="67" t="s">
        <v>628</v>
      </c>
      <c r="F130" s="68">
        <v>14284</v>
      </c>
      <c r="G130" s="49" t="s">
        <v>217</v>
      </c>
      <c r="H130" s="49" t="s">
        <v>38</v>
      </c>
      <c r="I130" s="69"/>
      <c r="J130" s="70"/>
      <c r="K130" s="70"/>
    </row>
    <row r="131" spans="1:11" s="71" customFormat="1" ht="13.8" customHeight="1" x14ac:dyDescent="0.25">
      <c r="A131" s="45"/>
      <c r="B131" s="47">
        <v>147</v>
      </c>
      <c r="C131" s="47" t="s">
        <v>338</v>
      </c>
      <c r="D131" s="66" t="s">
        <v>339</v>
      </c>
      <c r="E131" s="67" t="s">
        <v>628</v>
      </c>
      <c r="F131" s="68">
        <v>9917</v>
      </c>
      <c r="G131" s="49" t="s">
        <v>217</v>
      </c>
      <c r="H131" s="49" t="s">
        <v>38</v>
      </c>
      <c r="I131" s="69"/>
      <c r="J131" s="70"/>
      <c r="K131" s="70"/>
    </row>
    <row r="132" spans="1:11" s="71" customFormat="1" ht="13.8" customHeight="1" x14ac:dyDescent="0.25">
      <c r="A132" s="45"/>
      <c r="B132" s="47">
        <v>148</v>
      </c>
      <c r="C132" s="47" t="s">
        <v>412</v>
      </c>
      <c r="D132" s="66" t="s">
        <v>413</v>
      </c>
      <c r="E132" s="67" t="s">
        <v>628</v>
      </c>
      <c r="F132" s="68">
        <v>20675</v>
      </c>
      <c r="G132" s="49" t="s">
        <v>217</v>
      </c>
      <c r="H132" s="49" t="s">
        <v>38</v>
      </c>
      <c r="I132" s="69"/>
      <c r="J132" s="70"/>
      <c r="K132" s="70"/>
    </row>
    <row r="133" spans="1:11" s="71" customFormat="1" ht="13.8" customHeight="1" x14ac:dyDescent="0.25">
      <c r="A133" s="45"/>
      <c r="B133" s="47">
        <v>149</v>
      </c>
      <c r="C133" s="47" t="s">
        <v>467</v>
      </c>
      <c r="D133" s="66" t="s">
        <v>468</v>
      </c>
      <c r="E133" s="67" t="s">
        <v>628</v>
      </c>
      <c r="F133" s="68">
        <v>8769</v>
      </c>
      <c r="G133" s="49" t="s">
        <v>209</v>
      </c>
      <c r="H133" s="49" t="s">
        <v>38</v>
      </c>
      <c r="I133" s="69"/>
      <c r="J133" s="70"/>
      <c r="K133" s="70"/>
    </row>
    <row r="134" spans="1:11" s="71" customFormat="1" ht="13.8" customHeight="1" x14ac:dyDescent="0.25">
      <c r="A134" s="45"/>
      <c r="B134" s="47">
        <v>150</v>
      </c>
      <c r="C134" s="47" t="s">
        <v>414</v>
      </c>
      <c r="D134" s="66" t="s">
        <v>598</v>
      </c>
      <c r="E134" s="67" t="s">
        <v>628</v>
      </c>
      <c r="F134" s="68">
        <v>9600</v>
      </c>
      <c r="G134" s="49" t="s">
        <v>209</v>
      </c>
      <c r="H134" s="49" t="s">
        <v>38</v>
      </c>
      <c r="I134" s="69"/>
      <c r="J134" s="70"/>
      <c r="K134" s="70"/>
    </row>
    <row r="135" spans="1:11" s="71" customFormat="1" ht="13.8" customHeight="1" x14ac:dyDescent="0.25">
      <c r="A135" s="45"/>
      <c r="B135" s="47">
        <v>151</v>
      </c>
      <c r="C135" s="47" t="s">
        <v>374</v>
      </c>
      <c r="D135" s="66" t="s">
        <v>375</v>
      </c>
      <c r="E135" s="67" t="s">
        <v>629</v>
      </c>
      <c r="F135" s="68" t="s">
        <v>599</v>
      </c>
      <c r="G135" s="49" t="s">
        <v>213</v>
      </c>
      <c r="H135" s="49" t="s">
        <v>218</v>
      </c>
      <c r="I135" s="69"/>
      <c r="J135" s="70"/>
      <c r="K135" s="70"/>
    </row>
    <row r="136" spans="1:11" s="71" customFormat="1" ht="13.8" customHeight="1" x14ac:dyDescent="0.25">
      <c r="A136" s="45"/>
      <c r="B136" s="47">
        <v>152</v>
      </c>
      <c r="C136" s="47" t="s">
        <v>476</v>
      </c>
      <c r="D136" s="66" t="s">
        <v>477</v>
      </c>
      <c r="E136" s="67" t="s">
        <v>629</v>
      </c>
      <c r="F136" s="68" t="s">
        <v>600</v>
      </c>
      <c r="G136" s="49" t="s">
        <v>213</v>
      </c>
      <c r="H136" s="49" t="s">
        <v>218</v>
      </c>
      <c r="I136" s="69"/>
      <c r="J136" s="70"/>
      <c r="K136" s="70"/>
    </row>
    <row r="137" spans="1:11" s="71" customFormat="1" ht="13.8" customHeight="1" x14ac:dyDescent="0.25">
      <c r="A137" s="45"/>
      <c r="B137" s="47">
        <v>153</v>
      </c>
      <c r="C137" s="47" t="s">
        <v>215</v>
      </c>
      <c r="D137" s="66" t="s">
        <v>216</v>
      </c>
      <c r="E137" s="67" t="s">
        <v>630</v>
      </c>
      <c r="F137" s="68">
        <v>100027</v>
      </c>
      <c r="G137" s="49" t="s">
        <v>217</v>
      </c>
      <c r="H137" s="49" t="s">
        <v>218</v>
      </c>
      <c r="I137" s="69"/>
      <c r="J137" s="70"/>
      <c r="K137" s="70"/>
    </row>
    <row r="138" spans="1:11" s="71" customFormat="1" ht="13.8" customHeight="1" x14ac:dyDescent="0.25">
      <c r="A138" s="45"/>
      <c r="B138" s="47">
        <v>154</v>
      </c>
      <c r="C138" s="47" t="s">
        <v>270</v>
      </c>
      <c r="D138" s="66" t="s">
        <v>271</v>
      </c>
      <c r="E138" s="67" t="s">
        <v>630</v>
      </c>
      <c r="F138" s="68">
        <v>100225</v>
      </c>
      <c r="G138" s="49" t="s">
        <v>209</v>
      </c>
      <c r="H138" s="49" t="s">
        <v>218</v>
      </c>
      <c r="I138" s="69"/>
      <c r="J138" s="70"/>
      <c r="K138" s="70"/>
    </row>
    <row r="139" spans="1:11" s="71" customFormat="1" ht="13.8" customHeight="1" x14ac:dyDescent="0.25">
      <c r="A139" s="45"/>
      <c r="B139" s="47">
        <v>155</v>
      </c>
      <c r="C139" s="47" t="s">
        <v>286</v>
      </c>
      <c r="D139" s="66" t="s">
        <v>601</v>
      </c>
      <c r="E139" s="67" t="s">
        <v>630</v>
      </c>
      <c r="F139" s="68">
        <v>100040</v>
      </c>
      <c r="G139" s="49" t="s">
        <v>217</v>
      </c>
      <c r="H139" s="49" t="s">
        <v>218</v>
      </c>
      <c r="I139" s="69"/>
      <c r="J139" s="70"/>
      <c r="K139" s="70"/>
    </row>
    <row r="140" spans="1:11" s="71" customFormat="1" ht="13.8" customHeight="1" x14ac:dyDescent="0.25">
      <c r="A140" s="45"/>
      <c r="B140" s="47">
        <v>156</v>
      </c>
      <c r="C140" s="47" t="s">
        <v>287</v>
      </c>
      <c r="D140" s="66" t="s">
        <v>288</v>
      </c>
      <c r="E140" s="67" t="s">
        <v>630</v>
      </c>
      <c r="F140" s="68">
        <v>100044</v>
      </c>
      <c r="G140" s="49" t="s">
        <v>217</v>
      </c>
      <c r="H140" s="49" t="s">
        <v>218</v>
      </c>
      <c r="I140" s="69"/>
      <c r="J140" s="70"/>
      <c r="K140" s="70"/>
    </row>
    <row r="141" spans="1:11" s="71" customFormat="1" ht="13.8" customHeight="1" x14ac:dyDescent="0.25">
      <c r="A141" s="45"/>
      <c r="B141" s="47">
        <v>157</v>
      </c>
      <c r="C141" s="47" t="s">
        <v>431</v>
      </c>
      <c r="D141" s="66" t="s">
        <v>432</v>
      </c>
      <c r="E141" s="67" t="s">
        <v>630</v>
      </c>
      <c r="F141" s="68">
        <v>100224</v>
      </c>
      <c r="G141" s="49" t="s">
        <v>209</v>
      </c>
      <c r="H141" s="49" t="s">
        <v>218</v>
      </c>
      <c r="I141" s="69"/>
      <c r="J141" s="70"/>
      <c r="K141" s="70"/>
    </row>
    <row r="142" spans="1:11" s="71" customFormat="1" ht="13.8" customHeight="1" x14ac:dyDescent="0.25">
      <c r="A142" s="45"/>
      <c r="B142" s="47">
        <v>158</v>
      </c>
      <c r="C142" s="47" t="s">
        <v>357</v>
      </c>
      <c r="D142" s="66" t="s">
        <v>358</v>
      </c>
      <c r="E142" s="67" t="s">
        <v>631</v>
      </c>
      <c r="F142" s="68" t="s">
        <v>359</v>
      </c>
      <c r="G142" s="49" t="s">
        <v>217</v>
      </c>
      <c r="H142" s="49" t="s">
        <v>218</v>
      </c>
      <c r="I142" s="69"/>
      <c r="J142" s="70"/>
      <c r="K142" s="70"/>
    </row>
    <row r="143" spans="1:11" s="71" customFormat="1" ht="13.8" customHeight="1" x14ac:dyDescent="0.25">
      <c r="A143" s="45"/>
      <c r="B143" s="47">
        <v>159</v>
      </c>
      <c r="C143" s="47" t="s">
        <v>364</v>
      </c>
      <c r="D143" s="66" t="s">
        <v>365</v>
      </c>
      <c r="E143" s="67" t="s">
        <v>631</v>
      </c>
      <c r="F143" s="68" t="s">
        <v>366</v>
      </c>
      <c r="G143" s="49" t="s">
        <v>213</v>
      </c>
      <c r="H143" s="49" t="s">
        <v>218</v>
      </c>
      <c r="I143" s="69"/>
      <c r="J143" s="70"/>
      <c r="K143" s="70"/>
    </row>
    <row r="144" spans="1:11" s="71" customFormat="1" ht="13.8" customHeight="1" x14ac:dyDescent="0.25">
      <c r="A144" s="45"/>
      <c r="B144" s="47">
        <v>160</v>
      </c>
      <c r="C144" s="47" t="s">
        <v>480</v>
      </c>
      <c r="D144" s="66" t="s">
        <v>481</v>
      </c>
      <c r="E144" s="67" t="s">
        <v>631</v>
      </c>
      <c r="F144" s="68" t="s">
        <v>482</v>
      </c>
      <c r="G144" s="49" t="s">
        <v>209</v>
      </c>
      <c r="H144" s="49" t="s">
        <v>218</v>
      </c>
      <c r="I144" s="69"/>
      <c r="J144" s="70"/>
      <c r="K144" s="70"/>
    </row>
    <row r="145" spans="1:13" s="71" customFormat="1" ht="13.8" customHeight="1" x14ac:dyDescent="0.25">
      <c r="A145" s="45"/>
      <c r="B145" s="47">
        <v>161</v>
      </c>
      <c r="C145" s="47" t="s">
        <v>277</v>
      </c>
      <c r="D145" s="66" t="s">
        <v>278</v>
      </c>
      <c r="E145" s="67" t="s">
        <v>279</v>
      </c>
      <c r="F145" s="68">
        <v>100698</v>
      </c>
      <c r="G145" s="49" t="s">
        <v>209</v>
      </c>
      <c r="H145" s="49" t="s">
        <v>280</v>
      </c>
      <c r="I145" s="69"/>
      <c r="J145" s="70"/>
      <c r="K145" s="70"/>
    </row>
    <row r="146" spans="1:13" s="71" customFormat="1" ht="13.8" customHeight="1" x14ac:dyDescent="0.25">
      <c r="A146" s="45"/>
      <c r="B146" s="47">
        <v>162</v>
      </c>
      <c r="C146" s="47" t="s">
        <v>291</v>
      </c>
      <c r="D146" s="66" t="s">
        <v>292</v>
      </c>
      <c r="E146" s="67" t="s">
        <v>279</v>
      </c>
      <c r="F146" s="68">
        <v>100312</v>
      </c>
      <c r="G146" s="49" t="s">
        <v>217</v>
      </c>
      <c r="H146" s="49" t="s">
        <v>280</v>
      </c>
      <c r="I146" s="69"/>
      <c r="J146" s="70"/>
      <c r="K146" s="70"/>
    </row>
    <row r="147" spans="1:13" s="71" customFormat="1" ht="13.8" customHeight="1" x14ac:dyDescent="0.25">
      <c r="A147" s="45"/>
      <c r="B147" s="47">
        <v>163</v>
      </c>
      <c r="C147" s="47" t="s">
        <v>315</v>
      </c>
      <c r="D147" s="66" t="s">
        <v>316</v>
      </c>
      <c r="E147" s="67" t="s">
        <v>279</v>
      </c>
      <c r="F147" s="68">
        <v>100291</v>
      </c>
      <c r="G147" s="49" t="s">
        <v>209</v>
      </c>
      <c r="H147" s="49" t="s">
        <v>280</v>
      </c>
      <c r="I147" s="69"/>
      <c r="J147" s="70"/>
      <c r="K147" s="70"/>
    </row>
    <row r="148" spans="1:13" s="71" customFormat="1" ht="13.8" customHeight="1" x14ac:dyDescent="0.25">
      <c r="A148" s="45"/>
      <c r="B148" s="47">
        <v>164</v>
      </c>
      <c r="C148" s="47" t="s">
        <v>391</v>
      </c>
      <c r="D148" s="66" t="s">
        <v>392</v>
      </c>
      <c r="E148" s="67" t="s">
        <v>279</v>
      </c>
      <c r="F148" s="68">
        <v>100588</v>
      </c>
      <c r="G148" s="49" t="s">
        <v>217</v>
      </c>
      <c r="H148" s="49" t="s">
        <v>280</v>
      </c>
      <c r="I148" s="69"/>
      <c r="J148" s="70"/>
      <c r="K148" s="70"/>
    </row>
    <row r="149" spans="1:13" s="71" customFormat="1" ht="13.8" customHeight="1" x14ac:dyDescent="0.25">
      <c r="A149" s="45"/>
      <c r="B149" s="47">
        <v>165</v>
      </c>
      <c r="C149" s="47" t="s">
        <v>415</v>
      </c>
      <c r="D149" s="66" t="s">
        <v>416</v>
      </c>
      <c r="E149" s="67" t="s">
        <v>279</v>
      </c>
      <c r="F149" s="68">
        <v>100633</v>
      </c>
      <c r="G149" s="49" t="s">
        <v>217</v>
      </c>
      <c r="H149" s="49" t="s">
        <v>280</v>
      </c>
      <c r="I149" s="69"/>
      <c r="J149" s="70"/>
      <c r="K149" s="70"/>
    </row>
    <row r="150" spans="1:13" s="71" customFormat="1" ht="13.8" customHeight="1" x14ac:dyDescent="0.25">
      <c r="A150" s="45"/>
      <c r="B150" s="47">
        <v>166</v>
      </c>
      <c r="C150" s="47" t="s">
        <v>472</v>
      </c>
      <c r="D150" s="66" t="s">
        <v>473</v>
      </c>
      <c r="E150" s="67" t="s">
        <v>279</v>
      </c>
      <c r="F150" s="68">
        <v>100327</v>
      </c>
      <c r="G150" s="49" t="s">
        <v>217</v>
      </c>
      <c r="H150" s="49" t="s">
        <v>280</v>
      </c>
      <c r="I150" s="69"/>
      <c r="J150" s="70"/>
      <c r="K150" s="70"/>
    </row>
    <row r="151" spans="1:13" s="71" customFormat="1" ht="13.8" customHeight="1" x14ac:dyDescent="0.25">
      <c r="A151" s="45"/>
      <c r="B151" s="47">
        <v>167</v>
      </c>
      <c r="C151" s="47" t="s">
        <v>478</v>
      </c>
      <c r="D151" s="66" t="s">
        <v>479</v>
      </c>
      <c r="E151" s="67" t="s">
        <v>279</v>
      </c>
      <c r="F151" s="68">
        <v>100677</v>
      </c>
      <c r="G151" s="49" t="s">
        <v>217</v>
      </c>
      <c r="H151" s="49" t="s">
        <v>280</v>
      </c>
      <c r="I151" s="69"/>
      <c r="J151" s="70"/>
      <c r="K151" s="70"/>
    </row>
    <row r="152" spans="1:13" s="71" customFormat="1" ht="13.8" customHeight="1" x14ac:dyDescent="0.25">
      <c r="A152" s="45"/>
      <c r="B152" s="47">
        <v>191</v>
      </c>
      <c r="C152" s="47" t="s">
        <v>293</v>
      </c>
      <c r="D152" s="66" t="s">
        <v>294</v>
      </c>
      <c r="E152" s="67" t="s">
        <v>632</v>
      </c>
      <c r="F152" s="68">
        <v>20687</v>
      </c>
      <c r="G152" s="49" t="s">
        <v>213</v>
      </c>
      <c r="H152" s="49" t="s">
        <v>214</v>
      </c>
      <c r="I152" s="69"/>
      <c r="J152" s="70"/>
      <c r="K152" s="70"/>
    </row>
    <row r="153" spans="1:13" s="71" customFormat="1" ht="13.8" customHeight="1" x14ac:dyDescent="0.25">
      <c r="A153" s="45"/>
      <c r="B153" s="47">
        <v>192</v>
      </c>
      <c r="C153" s="47" t="s">
        <v>385</v>
      </c>
      <c r="D153" s="66" t="s">
        <v>386</v>
      </c>
      <c r="E153" s="67" t="s">
        <v>632</v>
      </c>
      <c r="F153" s="68">
        <v>10728</v>
      </c>
      <c r="G153" s="49" t="s">
        <v>213</v>
      </c>
      <c r="H153" s="49" t="s">
        <v>214</v>
      </c>
      <c r="I153" s="69"/>
      <c r="J153" s="70"/>
      <c r="K153" s="70"/>
    </row>
    <row r="154" spans="1:13" s="71" customFormat="1" ht="13.8" customHeight="1" x14ac:dyDescent="0.25">
      <c r="A154" s="45"/>
      <c r="B154" s="47">
        <v>193</v>
      </c>
      <c r="C154" s="47" t="s">
        <v>417</v>
      </c>
      <c r="D154" s="66" t="s">
        <v>418</v>
      </c>
      <c r="E154" s="67" t="s">
        <v>632</v>
      </c>
      <c r="F154" s="68">
        <v>10354</v>
      </c>
      <c r="G154" s="49" t="s">
        <v>213</v>
      </c>
      <c r="H154" s="49" t="s">
        <v>214</v>
      </c>
      <c r="I154" s="69"/>
      <c r="J154" s="70"/>
      <c r="K154" s="70"/>
    </row>
    <row r="155" spans="1:13" s="71" customFormat="1" ht="13.8" customHeight="1" x14ac:dyDescent="0.25">
      <c r="A155" s="45"/>
      <c r="B155" s="47">
        <v>194</v>
      </c>
      <c r="C155" s="47" t="s">
        <v>211</v>
      </c>
      <c r="D155" s="66" t="s">
        <v>212</v>
      </c>
      <c r="E155" s="67" t="s">
        <v>632</v>
      </c>
      <c r="F155" s="68">
        <v>8356</v>
      </c>
      <c r="G155" s="49" t="s">
        <v>213</v>
      </c>
      <c r="H155" s="49" t="s">
        <v>214</v>
      </c>
      <c r="I155" s="69"/>
      <c r="J155" s="70"/>
      <c r="K155" s="70"/>
    </row>
    <row r="156" spans="1:13" s="71" customFormat="1" ht="13.8" customHeight="1" x14ac:dyDescent="0.25">
      <c r="A156" s="45"/>
      <c r="B156" s="47">
        <v>195</v>
      </c>
      <c r="C156" s="47" t="s">
        <v>266</v>
      </c>
      <c r="D156" s="66" t="s">
        <v>267</v>
      </c>
      <c r="E156" s="67" t="s">
        <v>633</v>
      </c>
      <c r="F156" s="68">
        <v>20545</v>
      </c>
      <c r="G156" s="49" t="s">
        <v>213</v>
      </c>
      <c r="H156" s="49" t="s">
        <v>214</v>
      </c>
      <c r="I156" s="69"/>
      <c r="J156" s="70"/>
      <c r="K156" s="70"/>
    </row>
    <row r="157" spans="1:13" s="71" customFormat="1" ht="13.8" customHeight="1" x14ac:dyDescent="0.25">
      <c r="A157" s="45"/>
      <c r="B157" s="47">
        <v>196</v>
      </c>
      <c r="C157" s="47" t="s">
        <v>301</v>
      </c>
      <c r="D157" s="66" t="s">
        <v>302</v>
      </c>
      <c r="E157" s="67" t="s">
        <v>634</v>
      </c>
      <c r="F157" s="68">
        <v>20258</v>
      </c>
      <c r="G157" s="49" t="s">
        <v>213</v>
      </c>
      <c r="H157" s="49" t="s">
        <v>214</v>
      </c>
      <c r="I157" s="69"/>
      <c r="J157" s="70"/>
      <c r="K157" s="70"/>
    </row>
    <row r="158" spans="1:13" s="71" customFormat="1" ht="13.8" customHeight="1" x14ac:dyDescent="0.25">
      <c r="A158" s="45"/>
      <c r="B158" s="47">
        <v>197</v>
      </c>
      <c r="C158" s="47" t="s">
        <v>401</v>
      </c>
      <c r="D158" s="66" t="s">
        <v>402</v>
      </c>
      <c r="E158" s="67" t="s">
        <v>635</v>
      </c>
      <c r="F158" s="68">
        <v>20788</v>
      </c>
      <c r="G158" s="49" t="s">
        <v>209</v>
      </c>
      <c r="H158" s="49" t="s">
        <v>214</v>
      </c>
      <c r="I158" s="69"/>
      <c r="J158" s="70"/>
      <c r="K158" s="70"/>
    </row>
    <row r="159" spans="1:13" s="71" customFormat="1" ht="13.8" customHeight="1" x14ac:dyDescent="0.25">
      <c r="A159" s="45"/>
      <c r="B159" s="47">
        <v>198</v>
      </c>
      <c r="C159" s="47" t="s">
        <v>469</v>
      </c>
      <c r="D159" s="66" t="s">
        <v>470</v>
      </c>
      <c r="E159" s="67" t="s">
        <v>636</v>
      </c>
      <c r="F159" s="68" t="s">
        <v>471</v>
      </c>
      <c r="G159" s="49" t="s">
        <v>213</v>
      </c>
      <c r="H159" s="49" t="s">
        <v>214</v>
      </c>
      <c r="I159" s="69"/>
      <c r="J159" s="70"/>
      <c r="K159" s="70"/>
    </row>
    <row r="160" spans="1:13" s="3" customFormat="1" ht="14.4" x14ac:dyDescent="0.3">
      <c r="A160" s="54"/>
      <c r="B160" s="55" t="str">
        <f>NRIDERS1</f>
        <v>počet závodíků / num. of riders: 148</v>
      </c>
      <c r="C160" s="55"/>
      <c r="D160" s="56"/>
      <c r="E160" s="73"/>
      <c r="F160" s="54"/>
      <c r="G160" s="54"/>
      <c r="H160" s="54"/>
      <c r="I160" s="54"/>
      <c r="J160" s="54"/>
      <c r="K160" s="54"/>
      <c r="L160" s="74"/>
      <c r="M160" s="18"/>
    </row>
    <row r="161" spans="1:11" s="57" customFormat="1" ht="13.2" x14ac:dyDescent="0.25"/>
    <row r="162" spans="1:11" s="57" customFormat="1" ht="13.2" x14ac:dyDescent="0.25"/>
    <row r="163" spans="1:11" s="57" customFormat="1" ht="13.2" x14ac:dyDescent="0.25"/>
    <row r="164" spans="1:11" s="57" customFormat="1" ht="13.2" x14ac:dyDescent="0.25"/>
    <row r="165" spans="1:11" s="57" customFormat="1" ht="13.2" x14ac:dyDescent="0.25"/>
    <row r="166" spans="1:11" ht="6" customHeight="1" x14ac:dyDescent="0.25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</row>
    <row r="167" spans="1:11" x14ac:dyDescent="0.25">
      <c r="A167" s="76"/>
      <c r="B167" s="76"/>
      <c r="C167" s="77"/>
      <c r="D167" s="76"/>
      <c r="E167" s="76"/>
      <c r="F167" s="76"/>
      <c r="G167" s="76"/>
      <c r="H167" s="76"/>
      <c r="I167" s="76"/>
      <c r="J167" s="76"/>
      <c r="K167" s="76"/>
    </row>
    <row r="168" spans="1:11" x14ac:dyDescent="0.25">
      <c r="A168" s="76"/>
      <c r="B168" s="76"/>
      <c r="C168" s="77"/>
      <c r="D168" s="76"/>
      <c r="E168" s="76"/>
      <c r="F168" s="76"/>
      <c r="G168" s="76"/>
      <c r="H168" s="76"/>
      <c r="I168" s="76"/>
      <c r="J168" s="76"/>
      <c r="K168" s="76"/>
    </row>
    <row r="169" spans="1:11" x14ac:dyDescent="0.25">
      <c r="A169" s="76"/>
      <c r="B169" s="76"/>
      <c r="C169" s="77"/>
      <c r="D169" s="76"/>
      <c r="E169" s="76"/>
      <c r="F169" s="76"/>
      <c r="G169" s="76"/>
      <c r="H169" s="76"/>
      <c r="I169" s="76"/>
      <c r="J169" s="76"/>
      <c r="K169" s="76"/>
    </row>
    <row r="170" spans="1:11" x14ac:dyDescent="0.25">
      <c r="A170" s="76"/>
      <c r="B170" s="76"/>
      <c r="C170" s="77"/>
      <c r="D170" s="76"/>
      <c r="E170" s="76"/>
      <c r="F170" s="76"/>
      <c r="G170" s="76"/>
      <c r="H170" s="76"/>
      <c r="I170" s="76"/>
      <c r="J170" s="76"/>
      <c r="K170" s="76"/>
    </row>
    <row r="171" spans="1:11" x14ac:dyDescent="0.25">
      <c r="A171" s="76"/>
      <c r="B171" s="76"/>
      <c r="C171" s="77"/>
      <c r="D171" s="76"/>
      <c r="E171" s="76"/>
      <c r="F171" s="76"/>
      <c r="G171" s="76"/>
      <c r="H171" s="76"/>
      <c r="I171" s="76"/>
      <c r="J171" s="76"/>
      <c r="K171" s="76"/>
    </row>
    <row r="172" spans="1:11" x14ac:dyDescent="0.25">
      <c r="A172" s="76"/>
      <c r="B172" s="76"/>
      <c r="C172" s="77"/>
      <c r="D172" s="76"/>
      <c r="E172" s="76"/>
      <c r="F172" s="76"/>
      <c r="G172" s="76"/>
      <c r="H172" s="76"/>
      <c r="I172" s="76"/>
      <c r="J172" s="76"/>
      <c r="K172" s="76"/>
    </row>
    <row r="173" spans="1:11" ht="6" customHeight="1" x14ac:dyDescent="0.25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</row>
    <row r="174" spans="1:11" ht="11.4" customHeight="1" x14ac:dyDescent="0.25">
      <c r="A174" s="335" t="s">
        <v>40</v>
      </c>
      <c r="B174" s="335"/>
      <c r="C174" s="335"/>
      <c r="D174" s="335"/>
      <c r="E174" s="335"/>
      <c r="F174" s="335"/>
      <c r="G174" s="335"/>
      <c r="H174" s="335"/>
      <c r="I174" s="335"/>
      <c r="J174" s="335"/>
      <c r="K174" s="335"/>
    </row>
  </sheetData>
  <sortState ref="B12:H141">
    <sortCondition ref="B12"/>
  </sortState>
  <mergeCells count="6">
    <mergeCell ref="A174:K174"/>
    <mergeCell ref="A1:K1"/>
    <mergeCell ref="A2:K2"/>
    <mergeCell ref="D3:H3"/>
    <mergeCell ref="A5:K5"/>
    <mergeCell ref="A10:K10"/>
  </mergeCells>
  <phoneticPr fontId="12" type="noConversion"/>
  <pageMargins left="0.5" right="0.23622047244094491" top="0.31496062992125984" bottom="0.42" header="0.23622047244094491" footer="0.19685039370078741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99"/>
  <sheetViews>
    <sheetView zoomScaleNormal="100" workbookViewId="0">
      <selection activeCell="B1" sqref="B1:X1"/>
    </sheetView>
  </sheetViews>
  <sheetFormatPr defaultColWidth="8.88671875" defaultRowHeight="13.8" outlineLevelCol="1" x14ac:dyDescent="0.3"/>
  <cols>
    <col min="1" max="1" width="0.33203125" style="18" customWidth="1"/>
    <col min="2" max="2" width="1" style="80" customWidth="1"/>
    <col min="3" max="3" width="4.88671875" style="119" customWidth="1"/>
    <col min="4" max="4" width="1" style="80" customWidth="1"/>
    <col min="5" max="5" width="12.33203125" style="79" customWidth="1"/>
    <col min="6" max="6" width="19.33203125" style="80" customWidth="1"/>
    <col min="7" max="7" width="4.44140625" style="80" customWidth="1"/>
    <col min="8" max="8" width="1" style="80" customWidth="1"/>
    <col min="9" max="9" width="3" style="57" customWidth="1"/>
    <col min="10" max="10" width="1" style="80" customWidth="1"/>
    <col min="11" max="11" width="4.88671875" style="119" customWidth="1"/>
    <col min="12" max="12" width="1" style="80" customWidth="1"/>
    <col min="13" max="13" width="12.33203125" style="79" customWidth="1"/>
    <col min="14" max="14" width="19.33203125" style="80" customWidth="1"/>
    <col min="15" max="15" width="5" style="80" customWidth="1"/>
    <col min="16" max="16" width="1" style="80" customWidth="1"/>
    <col min="17" max="17" width="3" style="57" customWidth="1"/>
    <col min="18" max="18" width="1" style="80" customWidth="1"/>
    <col min="19" max="19" width="4.88671875" style="119" customWidth="1"/>
    <col min="20" max="20" width="1" style="80" customWidth="1"/>
    <col min="21" max="21" width="12.33203125" style="79" customWidth="1"/>
    <col min="22" max="22" width="19.33203125" style="80" customWidth="1"/>
    <col min="23" max="23" width="4.44140625" style="80" customWidth="1"/>
    <col min="24" max="24" width="1" style="80" customWidth="1"/>
    <col min="25" max="25" width="8.88671875" style="18"/>
    <col min="26" max="26" width="8.88671875" style="18" hidden="1" customWidth="1" outlineLevel="1"/>
    <col min="27" max="27" width="5.109375" style="78" hidden="1" customWidth="1" outlineLevel="1"/>
    <col min="28" max="28" width="26.109375" style="78" hidden="1" customWidth="1" outlineLevel="1"/>
    <col min="29" max="30" width="4.109375" style="78" hidden="1" customWidth="1" outlineLevel="1"/>
    <col min="31" max="31" width="8.88671875" style="78" hidden="1" customWidth="1" outlineLevel="1"/>
    <col min="32" max="32" width="8.88671875" style="18" collapsed="1"/>
    <col min="33" max="256" width="8.88671875" style="18"/>
    <col min="257" max="257" width="0.33203125" style="18" customWidth="1"/>
    <col min="258" max="258" width="1" style="18" customWidth="1"/>
    <col min="259" max="259" width="4.88671875" style="18" customWidth="1"/>
    <col min="260" max="260" width="1" style="18" customWidth="1"/>
    <col min="261" max="261" width="12.33203125" style="18" customWidth="1"/>
    <col min="262" max="262" width="19.33203125" style="18" customWidth="1"/>
    <col min="263" max="263" width="4.44140625" style="18" customWidth="1"/>
    <col min="264" max="264" width="1" style="18" customWidth="1"/>
    <col min="265" max="265" width="3" style="18" customWidth="1"/>
    <col min="266" max="266" width="1" style="18" customWidth="1"/>
    <col min="267" max="267" width="4.88671875" style="18" customWidth="1"/>
    <col min="268" max="268" width="1" style="18" customWidth="1"/>
    <col min="269" max="269" width="12.33203125" style="18" customWidth="1"/>
    <col min="270" max="270" width="19.33203125" style="18" customWidth="1"/>
    <col min="271" max="271" width="5" style="18" customWidth="1"/>
    <col min="272" max="272" width="1" style="18" customWidth="1"/>
    <col min="273" max="273" width="3" style="18" customWidth="1"/>
    <col min="274" max="274" width="1" style="18" customWidth="1"/>
    <col min="275" max="275" width="4.88671875" style="18" customWidth="1"/>
    <col min="276" max="276" width="1" style="18" customWidth="1"/>
    <col min="277" max="277" width="12.33203125" style="18" customWidth="1"/>
    <col min="278" max="278" width="19.33203125" style="18" customWidth="1"/>
    <col min="279" max="279" width="4.44140625" style="18" customWidth="1"/>
    <col min="280" max="280" width="1" style="18" customWidth="1"/>
    <col min="281" max="281" width="8.88671875" style="18"/>
    <col min="282" max="287" width="0" style="18" hidden="1" customWidth="1"/>
    <col min="288" max="512" width="8.88671875" style="18"/>
    <col min="513" max="513" width="0.33203125" style="18" customWidth="1"/>
    <col min="514" max="514" width="1" style="18" customWidth="1"/>
    <col min="515" max="515" width="4.88671875" style="18" customWidth="1"/>
    <col min="516" max="516" width="1" style="18" customWidth="1"/>
    <col min="517" max="517" width="12.33203125" style="18" customWidth="1"/>
    <col min="518" max="518" width="19.33203125" style="18" customWidth="1"/>
    <col min="519" max="519" width="4.44140625" style="18" customWidth="1"/>
    <col min="520" max="520" width="1" style="18" customWidth="1"/>
    <col min="521" max="521" width="3" style="18" customWidth="1"/>
    <col min="522" max="522" width="1" style="18" customWidth="1"/>
    <col min="523" max="523" width="4.88671875" style="18" customWidth="1"/>
    <col min="524" max="524" width="1" style="18" customWidth="1"/>
    <col min="525" max="525" width="12.33203125" style="18" customWidth="1"/>
    <col min="526" max="526" width="19.33203125" style="18" customWidth="1"/>
    <col min="527" max="527" width="5" style="18" customWidth="1"/>
    <col min="528" max="528" width="1" style="18" customWidth="1"/>
    <col min="529" max="529" width="3" style="18" customWidth="1"/>
    <col min="530" max="530" width="1" style="18" customWidth="1"/>
    <col min="531" max="531" width="4.88671875" style="18" customWidth="1"/>
    <col min="532" max="532" width="1" style="18" customWidth="1"/>
    <col min="533" max="533" width="12.33203125" style="18" customWidth="1"/>
    <col min="534" max="534" width="19.33203125" style="18" customWidth="1"/>
    <col min="535" max="535" width="4.44140625" style="18" customWidth="1"/>
    <col min="536" max="536" width="1" style="18" customWidth="1"/>
    <col min="537" max="537" width="8.88671875" style="18"/>
    <col min="538" max="543" width="0" style="18" hidden="1" customWidth="1"/>
    <col min="544" max="768" width="8.88671875" style="18"/>
    <col min="769" max="769" width="0.33203125" style="18" customWidth="1"/>
    <col min="770" max="770" width="1" style="18" customWidth="1"/>
    <col min="771" max="771" width="4.88671875" style="18" customWidth="1"/>
    <col min="772" max="772" width="1" style="18" customWidth="1"/>
    <col min="773" max="773" width="12.33203125" style="18" customWidth="1"/>
    <col min="774" max="774" width="19.33203125" style="18" customWidth="1"/>
    <col min="775" max="775" width="4.44140625" style="18" customWidth="1"/>
    <col min="776" max="776" width="1" style="18" customWidth="1"/>
    <col min="777" max="777" width="3" style="18" customWidth="1"/>
    <col min="778" max="778" width="1" style="18" customWidth="1"/>
    <col min="779" max="779" width="4.88671875" style="18" customWidth="1"/>
    <col min="780" max="780" width="1" style="18" customWidth="1"/>
    <col min="781" max="781" width="12.33203125" style="18" customWidth="1"/>
    <col min="782" max="782" width="19.33203125" style="18" customWidth="1"/>
    <col min="783" max="783" width="5" style="18" customWidth="1"/>
    <col min="784" max="784" width="1" style="18" customWidth="1"/>
    <col min="785" max="785" width="3" style="18" customWidth="1"/>
    <col min="786" max="786" width="1" style="18" customWidth="1"/>
    <col min="787" max="787" width="4.88671875" style="18" customWidth="1"/>
    <col min="788" max="788" width="1" style="18" customWidth="1"/>
    <col min="789" max="789" width="12.33203125" style="18" customWidth="1"/>
    <col min="790" max="790" width="19.33203125" style="18" customWidth="1"/>
    <col min="791" max="791" width="4.44140625" style="18" customWidth="1"/>
    <col min="792" max="792" width="1" style="18" customWidth="1"/>
    <col min="793" max="793" width="8.88671875" style="18"/>
    <col min="794" max="799" width="0" style="18" hidden="1" customWidth="1"/>
    <col min="800" max="1024" width="8.88671875" style="18"/>
    <col min="1025" max="1025" width="0.33203125" style="18" customWidth="1"/>
    <col min="1026" max="1026" width="1" style="18" customWidth="1"/>
    <col min="1027" max="1027" width="4.88671875" style="18" customWidth="1"/>
    <col min="1028" max="1028" width="1" style="18" customWidth="1"/>
    <col min="1029" max="1029" width="12.33203125" style="18" customWidth="1"/>
    <col min="1030" max="1030" width="19.33203125" style="18" customWidth="1"/>
    <col min="1031" max="1031" width="4.44140625" style="18" customWidth="1"/>
    <col min="1032" max="1032" width="1" style="18" customWidth="1"/>
    <col min="1033" max="1033" width="3" style="18" customWidth="1"/>
    <col min="1034" max="1034" width="1" style="18" customWidth="1"/>
    <col min="1035" max="1035" width="4.88671875" style="18" customWidth="1"/>
    <col min="1036" max="1036" width="1" style="18" customWidth="1"/>
    <col min="1037" max="1037" width="12.33203125" style="18" customWidth="1"/>
    <col min="1038" max="1038" width="19.33203125" style="18" customWidth="1"/>
    <col min="1039" max="1039" width="5" style="18" customWidth="1"/>
    <col min="1040" max="1040" width="1" style="18" customWidth="1"/>
    <col min="1041" max="1041" width="3" style="18" customWidth="1"/>
    <col min="1042" max="1042" width="1" style="18" customWidth="1"/>
    <col min="1043" max="1043" width="4.88671875" style="18" customWidth="1"/>
    <col min="1044" max="1044" width="1" style="18" customWidth="1"/>
    <col min="1045" max="1045" width="12.33203125" style="18" customWidth="1"/>
    <col min="1046" max="1046" width="19.33203125" style="18" customWidth="1"/>
    <col min="1047" max="1047" width="4.44140625" style="18" customWidth="1"/>
    <col min="1048" max="1048" width="1" style="18" customWidth="1"/>
    <col min="1049" max="1049" width="8.88671875" style="18"/>
    <col min="1050" max="1055" width="0" style="18" hidden="1" customWidth="1"/>
    <col min="1056" max="1280" width="8.88671875" style="18"/>
    <col min="1281" max="1281" width="0.33203125" style="18" customWidth="1"/>
    <col min="1282" max="1282" width="1" style="18" customWidth="1"/>
    <col min="1283" max="1283" width="4.88671875" style="18" customWidth="1"/>
    <col min="1284" max="1284" width="1" style="18" customWidth="1"/>
    <col min="1285" max="1285" width="12.33203125" style="18" customWidth="1"/>
    <col min="1286" max="1286" width="19.33203125" style="18" customWidth="1"/>
    <col min="1287" max="1287" width="4.44140625" style="18" customWidth="1"/>
    <col min="1288" max="1288" width="1" style="18" customWidth="1"/>
    <col min="1289" max="1289" width="3" style="18" customWidth="1"/>
    <col min="1290" max="1290" width="1" style="18" customWidth="1"/>
    <col min="1291" max="1291" width="4.88671875" style="18" customWidth="1"/>
    <col min="1292" max="1292" width="1" style="18" customWidth="1"/>
    <col min="1293" max="1293" width="12.33203125" style="18" customWidth="1"/>
    <col min="1294" max="1294" width="19.33203125" style="18" customWidth="1"/>
    <col min="1295" max="1295" width="5" style="18" customWidth="1"/>
    <col min="1296" max="1296" width="1" style="18" customWidth="1"/>
    <col min="1297" max="1297" width="3" style="18" customWidth="1"/>
    <col min="1298" max="1298" width="1" style="18" customWidth="1"/>
    <col min="1299" max="1299" width="4.88671875" style="18" customWidth="1"/>
    <col min="1300" max="1300" width="1" style="18" customWidth="1"/>
    <col min="1301" max="1301" width="12.33203125" style="18" customWidth="1"/>
    <col min="1302" max="1302" width="19.33203125" style="18" customWidth="1"/>
    <col min="1303" max="1303" width="4.44140625" style="18" customWidth="1"/>
    <col min="1304" max="1304" width="1" style="18" customWidth="1"/>
    <col min="1305" max="1305" width="8.88671875" style="18"/>
    <col min="1306" max="1311" width="0" style="18" hidden="1" customWidth="1"/>
    <col min="1312" max="1536" width="8.88671875" style="18"/>
    <col min="1537" max="1537" width="0.33203125" style="18" customWidth="1"/>
    <col min="1538" max="1538" width="1" style="18" customWidth="1"/>
    <col min="1539" max="1539" width="4.88671875" style="18" customWidth="1"/>
    <col min="1540" max="1540" width="1" style="18" customWidth="1"/>
    <col min="1541" max="1541" width="12.33203125" style="18" customWidth="1"/>
    <col min="1542" max="1542" width="19.33203125" style="18" customWidth="1"/>
    <col min="1543" max="1543" width="4.44140625" style="18" customWidth="1"/>
    <col min="1544" max="1544" width="1" style="18" customWidth="1"/>
    <col min="1545" max="1545" width="3" style="18" customWidth="1"/>
    <col min="1546" max="1546" width="1" style="18" customWidth="1"/>
    <col min="1547" max="1547" width="4.88671875" style="18" customWidth="1"/>
    <col min="1548" max="1548" width="1" style="18" customWidth="1"/>
    <col min="1549" max="1549" width="12.33203125" style="18" customWidth="1"/>
    <col min="1550" max="1550" width="19.33203125" style="18" customWidth="1"/>
    <col min="1551" max="1551" width="5" style="18" customWidth="1"/>
    <col min="1552" max="1552" width="1" style="18" customWidth="1"/>
    <col min="1553" max="1553" width="3" style="18" customWidth="1"/>
    <col min="1554" max="1554" width="1" style="18" customWidth="1"/>
    <col min="1555" max="1555" width="4.88671875" style="18" customWidth="1"/>
    <col min="1556" max="1556" width="1" style="18" customWidth="1"/>
    <col min="1557" max="1557" width="12.33203125" style="18" customWidth="1"/>
    <col min="1558" max="1558" width="19.33203125" style="18" customWidth="1"/>
    <col min="1559" max="1559" width="4.44140625" style="18" customWidth="1"/>
    <col min="1560" max="1560" width="1" style="18" customWidth="1"/>
    <col min="1561" max="1561" width="8.88671875" style="18"/>
    <col min="1562" max="1567" width="0" style="18" hidden="1" customWidth="1"/>
    <col min="1568" max="1792" width="8.88671875" style="18"/>
    <col min="1793" max="1793" width="0.33203125" style="18" customWidth="1"/>
    <col min="1794" max="1794" width="1" style="18" customWidth="1"/>
    <col min="1795" max="1795" width="4.88671875" style="18" customWidth="1"/>
    <col min="1796" max="1796" width="1" style="18" customWidth="1"/>
    <col min="1797" max="1797" width="12.33203125" style="18" customWidth="1"/>
    <col min="1798" max="1798" width="19.33203125" style="18" customWidth="1"/>
    <col min="1799" max="1799" width="4.44140625" style="18" customWidth="1"/>
    <col min="1800" max="1800" width="1" style="18" customWidth="1"/>
    <col min="1801" max="1801" width="3" style="18" customWidth="1"/>
    <col min="1802" max="1802" width="1" style="18" customWidth="1"/>
    <col min="1803" max="1803" width="4.88671875" style="18" customWidth="1"/>
    <col min="1804" max="1804" width="1" style="18" customWidth="1"/>
    <col min="1805" max="1805" width="12.33203125" style="18" customWidth="1"/>
    <col min="1806" max="1806" width="19.33203125" style="18" customWidth="1"/>
    <col min="1807" max="1807" width="5" style="18" customWidth="1"/>
    <col min="1808" max="1808" width="1" style="18" customWidth="1"/>
    <col min="1809" max="1809" width="3" style="18" customWidth="1"/>
    <col min="1810" max="1810" width="1" style="18" customWidth="1"/>
    <col min="1811" max="1811" width="4.88671875" style="18" customWidth="1"/>
    <col min="1812" max="1812" width="1" style="18" customWidth="1"/>
    <col min="1813" max="1813" width="12.33203125" style="18" customWidth="1"/>
    <col min="1814" max="1814" width="19.33203125" style="18" customWidth="1"/>
    <col min="1815" max="1815" width="4.44140625" style="18" customWidth="1"/>
    <col min="1816" max="1816" width="1" style="18" customWidth="1"/>
    <col min="1817" max="1817" width="8.88671875" style="18"/>
    <col min="1818" max="1823" width="0" style="18" hidden="1" customWidth="1"/>
    <col min="1824" max="2048" width="8.88671875" style="18"/>
    <col min="2049" max="2049" width="0.33203125" style="18" customWidth="1"/>
    <col min="2050" max="2050" width="1" style="18" customWidth="1"/>
    <col min="2051" max="2051" width="4.88671875" style="18" customWidth="1"/>
    <col min="2052" max="2052" width="1" style="18" customWidth="1"/>
    <col min="2053" max="2053" width="12.33203125" style="18" customWidth="1"/>
    <col min="2054" max="2054" width="19.33203125" style="18" customWidth="1"/>
    <col min="2055" max="2055" width="4.44140625" style="18" customWidth="1"/>
    <col min="2056" max="2056" width="1" style="18" customWidth="1"/>
    <col min="2057" max="2057" width="3" style="18" customWidth="1"/>
    <col min="2058" max="2058" width="1" style="18" customWidth="1"/>
    <col min="2059" max="2059" width="4.88671875" style="18" customWidth="1"/>
    <col min="2060" max="2060" width="1" style="18" customWidth="1"/>
    <col min="2061" max="2061" width="12.33203125" style="18" customWidth="1"/>
    <col min="2062" max="2062" width="19.33203125" style="18" customWidth="1"/>
    <col min="2063" max="2063" width="5" style="18" customWidth="1"/>
    <col min="2064" max="2064" width="1" style="18" customWidth="1"/>
    <col min="2065" max="2065" width="3" style="18" customWidth="1"/>
    <col min="2066" max="2066" width="1" style="18" customWidth="1"/>
    <col min="2067" max="2067" width="4.88671875" style="18" customWidth="1"/>
    <col min="2068" max="2068" width="1" style="18" customWidth="1"/>
    <col min="2069" max="2069" width="12.33203125" style="18" customWidth="1"/>
    <col min="2070" max="2070" width="19.33203125" style="18" customWidth="1"/>
    <col min="2071" max="2071" width="4.44140625" style="18" customWidth="1"/>
    <col min="2072" max="2072" width="1" style="18" customWidth="1"/>
    <col min="2073" max="2073" width="8.88671875" style="18"/>
    <col min="2074" max="2079" width="0" style="18" hidden="1" customWidth="1"/>
    <col min="2080" max="2304" width="8.88671875" style="18"/>
    <col min="2305" max="2305" width="0.33203125" style="18" customWidth="1"/>
    <col min="2306" max="2306" width="1" style="18" customWidth="1"/>
    <col min="2307" max="2307" width="4.88671875" style="18" customWidth="1"/>
    <col min="2308" max="2308" width="1" style="18" customWidth="1"/>
    <col min="2309" max="2309" width="12.33203125" style="18" customWidth="1"/>
    <col min="2310" max="2310" width="19.33203125" style="18" customWidth="1"/>
    <col min="2311" max="2311" width="4.44140625" style="18" customWidth="1"/>
    <col min="2312" max="2312" width="1" style="18" customWidth="1"/>
    <col min="2313" max="2313" width="3" style="18" customWidth="1"/>
    <col min="2314" max="2314" width="1" style="18" customWidth="1"/>
    <col min="2315" max="2315" width="4.88671875" style="18" customWidth="1"/>
    <col min="2316" max="2316" width="1" style="18" customWidth="1"/>
    <col min="2317" max="2317" width="12.33203125" style="18" customWidth="1"/>
    <col min="2318" max="2318" width="19.33203125" style="18" customWidth="1"/>
    <col min="2319" max="2319" width="5" style="18" customWidth="1"/>
    <col min="2320" max="2320" width="1" style="18" customWidth="1"/>
    <col min="2321" max="2321" width="3" style="18" customWidth="1"/>
    <col min="2322" max="2322" width="1" style="18" customWidth="1"/>
    <col min="2323" max="2323" width="4.88671875" style="18" customWidth="1"/>
    <col min="2324" max="2324" width="1" style="18" customWidth="1"/>
    <col min="2325" max="2325" width="12.33203125" style="18" customWidth="1"/>
    <col min="2326" max="2326" width="19.33203125" style="18" customWidth="1"/>
    <col min="2327" max="2327" width="4.44140625" style="18" customWidth="1"/>
    <col min="2328" max="2328" width="1" style="18" customWidth="1"/>
    <col min="2329" max="2329" width="8.88671875" style="18"/>
    <col min="2330" max="2335" width="0" style="18" hidden="1" customWidth="1"/>
    <col min="2336" max="2560" width="8.88671875" style="18"/>
    <col min="2561" max="2561" width="0.33203125" style="18" customWidth="1"/>
    <col min="2562" max="2562" width="1" style="18" customWidth="1"/>
    <col min="2563" max="2563" width="4.88671875" style="18" customWidth="1"/>
    <col min="2564" max="2564" width="1" style="18" customWidth="1"/>
    <col min="2565" max="2565" width="12.33203125" style="18" customWidth="1"/>
    <col min="2566" max="2566" width="19.33203125" style="18" customWidth="1"/>
    <col min="2567" max="2567" width="4.44140625" style="18" customWidth="1"/>
    <col min="2568" max="2568" width="1" style="18" customWidth="1"/>
    <col min="2569" max="2569" width="3" style="18" customWidth="1"/>
    <col min="2570" max="2570" width="1" style="18" customWidth="1"/>
    <col min="2571" max="2571" width="4.88671875" style="18" customWidth="1"/>
    <col min="2572" max="2572" width="1" style="18" customWidth="1"/>
    <col min="2573" max="2573" width="12.33203125" style="18" customWidth="1"/>
    <col min="2574" max="2574" width="19.33203125" style="18" customWidth="1"/>
    <col min="2575" max="2575" width="5" style="18" customWidth="1"/>
    <col min="2576" max="2576" width="1" style="18" customWidth="1"/>
    <col min="2577" max="2577" width="3" style="18" customWidth="1"/>
    <col min="2578" max="2578" width="1" style="18" customWidth="1"/>
    <col min="2579" max="2579" width="4.88671875" style="18" customWidth="1"/>
    <col min="2580" max="2580" width="1" style="18" customWidth="1"/>
    <col min="2581" max="2581" width="12.33203125" style="18" customWidth="1"/>
    <col min="2582" max="2582" width="19.33203125" style="18" customWidth="1"/>
    <col min="2583" max="2583" width="4.44140625" style="18" customWidth="1"/>
    <col min="2584" max="2584" width="1" style="18" customWidth="1"/>
    <col min="2585" max="2585" width="8.88671875" style="18"/>
    <col min="2586" max="2591" width="0" style="18" hidden="1" customWidth="1"/>
    <col min="2592" max="2816" width="8.88671875" style="18"/>
    <col min="2817" max="2817" width="0.33203125" style="18" customWidth="1"/>
    <col min="2818" max="2818" width="1" style="18" customWidth="1"/>
    <col min="2819" max="2819" width="4.88671875" style="18" customWidth="1"/>
    <col min="2820" max="2820" width="1" style="18" customWidth="1"/>
    <col min="2821" max="2821" width="12.33203125" style="18" customWidth="1"/>
    <col min="2822" max="2822" width="19.33203125" style="18" customWidth="1"/>
    <col min="2823" max="2823" width="4.44140625" style="18" customWidth="1"/>
    <col min="2824" max="2824" width="1" style="18" customWidth="1"/>
    <col min="2825" max="2825" width="3" style="18" customWidth="1"/>
    <col min="2826" max="2826" width="1" style="18" customWidth="1"/>
    <col min="2827" max="2827" width="4.88671875" style="18" customWidth="1"/>
    <col min="2828" max="2828" width="1" style="18" customWidth="1"/>
    <col min="2829" max="2829" width="12.33203125" style="18" customWidth="1"/>
    <col min="2830" max="2830" width="19.33203125" style="18" customWidth="1"/>
    <col min="2831" max="2831" width="5" style="18" customWidth="1"/>
    <col min="2832" max="2832" width="1" style="18" customWidth="1"/>
    <col min="2833" max="2833" width="3" style="18" customWidth="1"/>
    <col min="2834" max="2834" width="1" style="18" customWidth="1"/>
    <col min="2835" max="2835" width="4.88671875" style="18" customWidth="1"/>
    <col min="2836" max="2836" width="1" style="18" customWidth="1"/>
    <col min="2837" max="2837" width="12.33203125" style="18" customWidth="1"/>
    <col min="2838" max="2838" width="19.33203125" style="18" customWidth="1"/>
    <col min="2839" max="2839" width="4.44140625" style="18" customWidth="1"/>
    <col min="2840" max="2840" width="1" style="18" customWidth="1"/>
    <col min="2841" max="2841" width="8.88671875" style="18"/>
    <col min="2842" max="2847" width="0" style="18" hidden="1" customWidth="1"/>
    <col min="2848" max="3072" width="8.88671875" style="18"/>
    <col min="3073" max="3073" width="0.33203125" style="18" customWidth="1"/>
    <col min="3074" max="3074" width="1" style="18" customWidth="1"/>
    <col min="3075" max="3075" width="4.88671875" style="18" customWidth="1"/>
    <col min="3076" max="3076" width="1" style="18" customWidth="1"/>
    <col min="3077" max="3077" width="12.33203125" style="18" customWidth="1"/>
    <col min="3078" max="3078" width="19.33203125" style="18" customWidth="1"/>
    <col min="3079" max="3079" width="4.44140625" style="18" customWidth="1"/>
    <col min="3080" max="3080" width="1" style="18" customWidth="1"/>
    <col min="3081" max="3081" width="3" style="18" customWidth="1"/>
    <col min="3082" max="3082" width="1" style="18" customWidth="1"/>
    <col min="3083" max="3083" width="4.88671875" style="18" customWidth="1"/>
    <col min="3084" max="3084" width="1" style="18" customWidth="1"/>
    <col min="3085" max="3085" width="12.33203125" style="18" customWidth="1"/>
    <col min="3086" max="3086" width="19.33203125" style="18" customWidth="1"/>
    <col min="3087" max="3087" width="5" style="18" customWidth="1"/>
    <col min="3088" max="3088" width="1" style="18" customWidth="1"/>
    <col min="3089" max="3089" width="3" style="18" customWidth="1"/>
    <col min="3090" max="3090" width="1" style="18" customWidth="1"/>
    <col min="3091" max="3091" width="4.88671875" style="18" customWidth="1"/>
    <col min="3092" max="3092" width="1" style="18" customWidth="1"/>
    <col min="3093" max="3093" width="12.33203125" style="18" customWidth="1"/>
    <col min="3094" max="3094" width="19.33203125" style="18" customWidth="1"/>
    <col min="3095" max="3095" width="4.44140625" style="18" customWidth="1"/>
    <col min="3096" max="3096" width="1" style="18" customWidth="1"/>
    <col min="3097" max="3097" width="8.88671875" style="18"/>
    <col min="3098" max="3103" width="0" style="18" hidden="1" customWidth="1"/>
    <col min="3104" max="3328" width="8.88671875" style="18"/>
    <col min="3329" max="3329" width="0.33203125" style="18" customWidth="1"/>
    <col min="3330" max="3330" width="1" style="18" customWidth="1"/>
    <col min="3331" max="3331" width="4.88671875" style="18" customWidth="1"/>
    <col min="3332" max="3332" width="1" style="18" customWidth="1"/>
    <col min="3333" max="3333" width="12.33203125" style="18" customWidth="1"/>
    <col min="3334" max="3334" width="19.33203125" style="18" customWidth="1"/>
    <col min="3335" max="3335" width="4.44140625" style="18" customWidth="1"/>
    <col min="3336" max="3336" width="1" style="18" customWidth="1"/>
    <col min="3337" max="3337" width="3" style="18" customWidth="1"/>
    <col min="3338" max="3338" width="1" style="18" customWidth="1"/>
    <col min="3339" max="3339" width="4.88671875" style="18" customWidth="1"/>
    <col min="3340" max="3340" width="1" style="18" customWidth="1"/>
    <col min="3341" max="3341" width="12.33203125" style="18" customWidth="1"/>
    <col min="3342" max="3342" width="19.33203125" style="18" customWidth="1"/>
    <col min="3343" max="3343" width="5" style="18" customWidth="1"/>
    <col min="3344" max="3344" width="1" style="18" customWidth="1"/>
    <col min="3345" max="3345" width="3" style="18" customWidth="1"/>
    <col min="3346" max="3346" width="1" style="18" customWidth="1"/>
    <col min="3347" max="3347" width="4.88671875" style="18" customWidth="1"/>
    <col min="3348" max="3348" width="1" style="18" customWidth="1"/>
    <col min="3349" max="3349" width="12.33203125" style="18" customWidth="1"/>
    <col min="3350" max="3350" width="19.33203125" style="18" customWidth="1"/>
    <col min="3351" max="3351" width="4.44140625" style="18" customWidth="1"/>
    <col min="3352" max="3352" width="1" style="18" customWidth="1"/>
    <col min="3353" max="3353" width="8.88671875" style="18"/>
    <col min="3354" max="3359" width="0" style="18" hidden="1" customWidth="1"/>
    <col min="3360" max="3584" width="8.88671875" style="18"/>
    <col min="3585" max="3585" width="0.33203125" style="18" customWidth="1"/>
    <col min="3586" max="3586" width="1" style="18" customWidth="1"/>
    <col min="3587" max="3587" width="4.88671875" style="18" customWidth="1"/>
    <col min="3588" max="3588" width="1" style="18" customWidth="1"/>
    <col min="3589" max="3589" width="12.33203125" style="18" customWidth="1"/>
    <col min="3590" max="3590" width="19.33203125" style="18" customWidth="1"/>
    <col min="3591" max="3591" width="4.44140625" style="18" customWidth="1"/>
    <col min="3592" max="3592" width="1" style="18" customWidth="1"/>
    <col min="3593" max="3593" width="3" style="18" customWidth="1"/>
    <col min="3594" max="3594" width="1" style="18" customWidth="1"/>
    <col min="3595" max="3595" width="4.88671875" style="18" customWidth="1"/>
    <col min="3596" max="3596" width="1" style="18" customWidth="1"/>
    <col min="3597" max="3597" width="12.33203125" style="18" customWidth="1"/>
    <col min="3598" max="3598" width="19.33203125" style="18" customWidth="1"/>
    <col min="3599" max="3599" width="5" style="18" customWidth="1"/>
    <col min="3600" max="3600" width="1" style="18" customWidth="1"/>
    <col min="3601" max="3601" width="3" style="18" customWidth="1"/>
    <col min="3602" max="3602" width="1" style="18" customWidth="1"/>
    <col min="3603" max="3603" width="4.88671875" style="18" customWidth="1"/>
    <col min="3604" max="3604" width="1" style="18" customWidth="1"/>
    <col min="3605" max="3605" width="12.33203125" style="18" customWidth="1"/>
    <col min="3606" max="3606" width="19.33203125" style="18" customWidth="1"/>
    <col min="3607" max="3607" width="4.44140625" style="18" customWidth="1"/>
    <col min="3608" max="3608" width="1" style="18" customWidth="1"/>
    <col min="3609" max="3609" width="8.88671875" style="18"/>
    <col min="3610" max="3615" width="0" style="18" hidden="1" customWidth="1"/>
    <col min="3616" max="3840" width="8.88671875" style="18"/>
    <col min="3841" max="3841" width="0.33203125" style="18" customWidth="1"/>
    <col min="3842" max="3842" width="1" style="18" customWidth="1"/>
    <col min="3843" max="3843" width="4.88671875" style="18" customWidth="1"/>
    <col min="3844" max="3844" width="1" style="18" customWidth="1"/>
    <col min="3845" max="3845" width="12.33203125" style="18" customWidth="1"/>
    <col min="3846" max="3846" width="19.33203125" style="18" customWidth="1"/>
    <col min="3847" max="3847" width="4.44140625" style="18" customWidth="1"/>
    <col min="3848" max="3848" width="1" style="18" customWidth="1"/>
    <col min="3849" max="3849" width="3" style="18" customWidth="1"/>
    <col min="3850" max="3850" width="1" style="18" customWidth="1"/>
    <col min="3851" max="3851" width="4.88671875" style="18" customWidth="1"/>
    <col min="3852" max="3852" width="1" style="18" customWidth="1"/>
    <col min="3853" max="3853" width="12.33203125" style="18" customWidth="1"/>
    <col min="3854" max="3854" width="19.33203125" style="18" customWidth="1"/>
    <col min="3855" max="3855" width="5" style="18" customWidth="1"/>
    <col min="3856" max="3856" width="1" style="18" customWidth="1"/>
    <col min="3857" max="3857" width="3" style="18" customWidth="1"/>
    <col min="3858" max="3858" width="1" style="18" customWidth="1"/>
    <col min="3859" max="3859" width="4.88671875" style="18" customWidth="1"/>
    <col min="3860" max="3860" width="1" style="18" customWidth="1"/>
    <col min="3861" max="3861" width="12.33203125" style="18" customWidth="1"/>
    <col min="3862" max="3862" width="19.33203125" style="18" customWidth="1"/>
    <col min="3863" max="3863" width="4.44140625" style="18" customWidth="1"/>
    <col min="3864" max="3864" width="1" style="18" customWidth="1"/>
    <col min="3865" max="3865" width="8.88671875" style="18"/>
    <col min="3866" max="3871" width="0" style="18" hidden="1" customWidth="1"/>
    <col min="3872" max="4096" width="8.88671875" style="18"/>
    <col min="4097" max="4097" width="0.33203125" style="18" customWidth="1"/>
    <col min="4098" max="4098" width="1" style="18" customWidth="1"/>
    <col min="4099" max="4099" width="4.88671875" style="18" customWidth="1"/>
    <col min="4100" max="4100" width="1" style="18" customWidth="1"/>
    <col min="4101" max="4101" width="12.33203125" style="18" customWidth="1"/>
    <col min="4102" max="4102" width="19.33203125" style="18" customWidth="1"/>
    <col min="4103" max="4103" width="4.44140625" style="18" customWidth="1"/>
    <col min="4104" max="4104" width="1" style="18" customWidth="1"/>
    <col min="4105" max="4105" width="3" style="18" customWidth="1"/>
    <col min="4106" max="4106" width="1" style="18" customWidth="1"/>
    <col min="4107" max="4107" width="4.88671875" style="18" customWidth="1"/>
    <col min="4108" max="4108" width="1" style="18" customWidth="1"/>
    <col min="4109" max="4109" width="12.33203125" style="18" customWidth="1"/>
    <col min="4110" max="4110" width="19.33203125" style="18" customWidth="1"/>
    <col min="4111" max="4111" width="5" style="18" customWidth="1"/>
    <col min="4112" max="4112" width="1" style="18" customWidth="1"/>
    <col min="4113" max="4113" width="3" style="18" customWidth="1"/>
    <col min="4114" max="4114" width="1" style="18" customWidth="1"/>
    <col min="4115" max="4115" width="4.88671875" style="18" customWidth="1"/>
    <col min="4116" max="4116" width="1" style="18" customWidth="1"/>
    <col min="4117" max="4117" width="12.33203125" style="18" customWidth="1"/>
    <col min="4118" max="4118" width="19.33203125" style="18" customWidth="1"/>
    <col min="4119" max="4119" width="4.44140625" style="18" customWidth="1"/>
    <col min="4120" max="4120" width="1" style="18" customWidth="1"/>
    <col min="4121" max="4121" width="8.88671875" style="18"/>
    <col min="4122" max="4127" width="0" style="18" hidden="1" customWidth="1"/>
    <col min="4128" max="4352" width="8.88671875" style="18"/>
    <col min="4353" max="4353" width="0.33203125" style="18" customWidth="1"/>
    <col min="4354" max="4354" width="1" style="18" customWidth="1"/>
    <col min="4355" max="4355" width="4.88671875" style="18" customWidth="1"/>
    <col min="4356" max="4356" width="1" style="18" customWidth="1"/>
    <col min="4357" max="4357" width="12.33203125" style="18" customWidth="1"/>
    <col min="4358" max="4358" width="19.33203125" style="18" customWidth="1"/>
    <col min="4359" max="4359" width="4.44140625" style="18" customWidth="1"/>
    <col min="4360" max="4360" width="1" style="18" customWidth="1"/>
    <col min="4361" max="4361" width="3" style="18" customWidth="1"/>
    <col min="4362" max="4362" width="1" style="18" customWidth="1"/>
    <col min="4363" max="4363" width="4.88671875" style="18" customWidth="1"/>
    <col min="4364" max="4364" width="1" style="18" customWidth="1"/>
    <col min="4365" max="4365" width="12.33203125" style="18" customWidth="1"/>
    <col min="4366" max="4366" width="19.33203125" style="18" customWidth="1"/>
    <col min="4367" max="4367" width="5" style="18" customWidth="1"/>
    <col min="4368" max="4368" width="1" style="18" customWidth="1"/>
    <col min="4369" max="4369" width="3" style="18" customWidth="1"/>
    <col min="4370" max="4370" width="1" style="18" customWidth="1"/>
    <col min="4371" max="4371" width="4.88671875" style="18" customWidth="1"/>
    <col min="4372" max="4372" width="1" style="18" customWidth="1"/>
    <col min="4373" max="4373" width="12.33203125" style="18" customWidth="1"/>
    <col min="4374" max="4374" width="19.33203125" style="18" customWidth="1"/>
    <col min="4375" max="4375" width="4.44140625" style="18" customWidth="1"/>
    <col min="4376" max="4376" width="1" style="18" customWidth="1"/>
    <col min="4377" max="4377" width="8.88671875" style="18"/>
    <col min="4378" max="4383" width="0" style="18" hidden="1" customWidth="1"/>
    <col min="4384" max="4608" width="8.88671875" style="18"/>
    <col min="4609" max="4609" width="0.33203125" style="18" customWidth="1"/>
    <col min="4610" max="4610" width="1" style="18" customWidth="1"/>
    <col min="4611" max="4611" width="4.88671875" style="18" customWidth="1"/>
    <col min="4612" max="4612" width="1" style="18" customWidth="1"/>
    <col min="4613" max="4613" width="12.33203125" style="18" customWidth="1"/>
    <col min="4614" max="4614" width="19.33203125" style="18" customWidth="1"/>
    <col min="4615" max="4615" width="4.44140625" style="18" customWidth="1"/>
    <col min="4616" max="4616" width="1" style="18" customWidth="1"/>
    <col min="4617" max="4617" width="3" style="18" customWidth="1"/>
    <col min="4618" max="4618" width="1" style="18" customWidth="1"/>
    <col min="4619" max="4619" width="4.88671875" style="18" customWidth="1"/>
    <col min="4620" max="4620" width="1" style="18" customWidth="1"/>
    <col min="4621" max="4621" width="12.33203125" style="18" customWidth="1"/>
    <col min="4622" max="4622" width="19.33203125" style="18" customWidth="1"/>
    <col min="4623" max="4623" width="5" style="18" customWidth="1"/>
    <col min="4624" max="4624" width="1" style="18" customWidth="1"/>
    <col min="4625" max="4625" width="3" style="18" customWidth="1"/>
    <col min="4626" max="4626" width="1" style="18" customWidth="1"/>
    <col min="4627" max="4627" width="4.88671875" style="18" customWidth="1"/>
    <col min="4628" max="4628" width="1" style="18" customWidth="1"/>
    <col min="4629" max="4629" width="12.33203125" style="18" customWidth="1"/>
    <col min="4630" max="4630" width="19.33203125" style="18" customWidth="1"/>
    <col min="4631" max="4631" width="4.44140625" style="18" customWidth="1"/>
    <col min="4632" max="4632" width="1" style="18" customWidth="1"/>
    <col min="4633" max="4633" width="8.88671875" style="18"/>
    <col min="4634" max="4639" width="0" style="18" hidden="1" customWidth="1"/>
    <col min="4640" max="4864" width="8.88671875" style="18"/>
    <col min="4865" max="4865" width="0.33203125" style="18" customWidth="1"/>
    <col min="4866" max="4866" width="1" style="18" customWidth="1"/>
    <col min="4867" max="4867" width="4.88671875" style="18" customWidth="1"/>
    <col min="4868" max="4868" width="1" style="18" customWidth="1"/>
    <col min="4869" max="4869" width="12.33203125" style="18" customWidth="1"/>
    <col min="4870" max="4870" width="19.33203125" style="18" customWidth="1"/>
    <col min="4871" max="4871" width="4.44140625" style="18" customWidth="1"/>
    <col min="4872" max="4872" width="1" style="18" customWidth="1"/>
    <col min="4873" max="4873" width="3" style="18" customWidth="1"/>
    <col min="4874" max="4874" width="1" style="18" customWidth="1"/>
    <col min="4875" max="4875" width="4.88671875" style="18" customWidth="1"/>
    <col min="4876" max="4876" width="1" style="18" customWidth="1"/>
    <col min="4877" max="4877" width="12.33203125" style="18" customWidth="1"/>
    <col min="4878" max="4878" width="19.33203125" style="18" customWidth="1"/>
    <col min="4879" max="4879" width="5" style="18" customWidth="1"/>
    <col min="4880" max="4880" width="1" style="18" customWidth="1"/>
    <col min="4881" max="4881" width="3" style="18" customWidth="1"/>
    <col min="4882" max="4882" width="1" style="18" customWidth="1"/>
    <col min="4883" max="4883" width="4.88671875" style="18" customWidth="1"/>
    <col min="4884" max="4884" width="1" style="18" customWidth="1"/>
    <col min="4885" max="4885" width="12.33203125" style="18" customWidth="1"/>
    <col min="4886" max="4886" width="19.33203125" style="18" customWidth="1"/>
    <col min="4887" max="4887" width="4.44140625" style="18" customWidth="1"/>
    <col min="4888" max="4888" width="1" style="18" customWidth="1"/>
    <col min="4889" max="4889" width="8.88671875" style="18"/>
    <col min="4890" max="4895" width="0" style="18" hidden="1" customWidth="1"/>
    <col min="4896" max="5120" width="8.88671875" style="18"/>
    <col min="5121" max="5121" width="0.33203125" style="18" customWidth="1"/>
    <col min="5122" max="5122" width="1" style="18" customWidth="1"/>
    <col min="5123" max="5123" width="4.88671875" style="18" customWidth="1"/>
    <col min="5124" max="5124" width="1" style="18" customWidth="1"/>
    <col min="5125" max="5125" width="12.33203125" style="18" customWidth="1"/>
    <col min="5126" max="5126" width="19.33203125" style="18" customWidth="1"/>
    <col min="5127" max="5127" width="4.44140625" style="18" customWidth="1"/>
    <col min="5128" max="5128" width="1" style="18" customWidth="1"/>
    <col min="5129" max="5129" width="3" style="18" customWidth="1"/>
    <col min="5130" max="5130" width="1" style="18" customWidth="1"/>
    <col min="5131" max="5131" width="4.88671875" style="18" customWidth="1"/>
    <col min="5132" max="5132" width="1" style="18" customWidth="1"/>
    <col min="5133" max="5133" width="12.33203125" style="18" customWidth="1"/>
    <col min="5134" max="5134" width="19.33203125" style="18" customWidth="1"/>
    <col min="5135" max="5135" width="5" style="18" customWidth="1"/>
    <col min="5136" max="5136" width="1" style="18" customWidth="1"/>
    <col min="5137" max="5137" width="3" style="18" customWidth="1"/>
    <col min="5138" max="5138" width="1" style="18" customWidth="1"/>
    <col min="5139" max="5139" width="4.88671875" style="18" customWidth="1"/>
    <col min="5140" max="5140" width="1" style="18" customWidth="1"/>
    <col min="5141" max="5141" width="12.33203125" style="18" customWidth="1"/>
    <col min="5142" max="5142" width="19.33203125" style="18" customWidth="1"/>
    <col min="5143" max="5143" width="4.44140625" style="18" customWidth="1"/>
    <col min="5144" max="5144" width="1" style="18" customWidth="1"/>
    <col min="5145" max="5145" width="8.88671875" style="18"/>
    <col min="5146" max="5151" width="0" style="18" hidden="1" customWidth="1"/>
    <col min="5152" max="5376" width="8.88671875" style="18"/>
    <col min="5377" max="5377" width="0.33203125" style="18" customWidth="1"/>
    <col min="5378" max="5378" width="1" style="18" customWidth="1"/>
    <col min="5379" max="5379" width="4.88671875" style="18" customWidth="1"/>
    <col min="5380" max="5380" width="1" style="18" customWidth="1"/>
    <col min="5381" max="5381" width="12.33203125" style="18" customWidth="1"/>
    <col min="5382" max="5382" width="19.33203125" style="18" customWidth="1"/>
    <col min="5383" max="5383" width="4.44140625" style="18" customWidth="1"/>
    <col min="5384" max="5384" width="1" style="18" customWidth="1"/>
    <col min="5385" max="5385" width="3" style="18" customWidth="1"/>
    <col min="5386" max="5386" width="1" style="18" customWidth="1"/>
    <col min="5387" max="5387" width="4.88671875" style="18" customWidth="1"/>
    <col min="5388" max="5388" width="1" style="18" customWidth="1"/>
    <col min="5389" max="5389" width="12.33203125" style="18" customWidth="1"/>
    <col min="5390" max="5390" width="19.33203125" style="18" customWidth="1"/>
    <col min="5391" max="5391" width="5" style="18" customWidth="1"/>
    <col min="5392" max="5392" width="1" style="18" customWidth="1"/>
    <col min="5393" max="5393" width="3" style="18" customWidth="1"/>
    <col min="5394" max="5394" width="1" style="18" customWidth="1"/>
    <col min="5395" max="5395" width="4.88671875" style="18" customWidth="1"/>
    <col min="5396" max="5396" width="1" style="18" customWidth="1"/>
    <col min="5397" max="5397" width="12.33203125" style="18" customWidth="1"/>
    <col min="5398" max="5398" width="19.33203125" style="18" customWidth="1"/>
    <col min="5399" max="5399" width="4.44140625" style="18" customWidth="1"/>
    <col min="5400" max="5400" width="1" style="18" customWidth="1"/>
    <col min="5401" max="5401" width="8.88671875" style="18"/>
    <col min="5402" max="5407" width="0" style="18" hidden="1" customWidth="1"/>
    <col min="5408" max="5632" width="8.88671875" style="18"/>
    <col min="5633" max="5633" width="0.33203125" style="18" customWidth="1"/>
    <col min="5634" max="5634" width="1" style="18" customWidth="1"/>
    <col min="5635" max="5635" width="4.88671875" style="18" customWidth="1"/>
    <col min="5636" max="5636" width="1" style="18" customWidth="1"/>
    <col min="5637" max="5637" width="12.33203125" style="18" customWidth="1"/>
    <col min="5638" max="5638" width="19.33203125" style="18" customWidth="1"/>
    <col min="5639" max="5639" width="4.44140625" style="18" customWidth="1"/>
    <col min="5640" max="5640" width="1" style="18" customWidth="1"/>
    <col min="5641" max="5641" width="3" style="18" customWidth="1"/>
    <col min="5642" max="5642" width="1" style="18" customWidth="1"/>
    <col min="5643" max="5643" width="4.88671875" style="18" customWidth="1"/>
    <col min="5644" max="5644" width="1" style="18" customWidth="1"/>
    <col min="5645" max="5645" width="12.33203125" style="18" customWidth="1"/>
    <col min="5646" max="5646" width="19.33203125" style="18" customWidth="1"/>
    <col min="5647" max="5647" width="5" style="18" customWidth="1"/>
    <col min="5648" max="5648" width="1" style="18" customWidth="1"/>
    <col min="5649" max="5649" width="3" style="18" customWidth="1"/>
    <col min="5650" max="5650" width="1" style="18" customWidth="1"/>
    <col min="5651" max="5651" width="4.88671875" style="18" customWidth="1"/>
    <col min="5652" max="5652" width="1" style="18" customWidth="1"/>
    <col min="5653" max="5653" width="12.33203125" style="18" customWidth="1"/>
    <col min="5654" max="5654" width="19.33203125" style="18" customWidth="1"/>
    <col min="5655" max="5655" width="4.44140625" style="18" customWidth="1"/>
    <col min="5656" max="5656" width="1" style="18" customWidth="1"/>
    <col min="5657" max="5657" width="8.88671875" style="18"/>
    <col min="5658" max="5663" width="0" style="18" hidden="1" customWidth="1"/>
    <col min="5664" max="5888" width="8.88671875" style="18"/>
    <col min="5889" max="5889" width="0.33203125" style="18" customWidth="1"/>
    <col min="5890" max="5890" width="1" style="18" customWidth="1"/>
    <col min="5891" max="5891" width="4.88671875" style="18" customWidth="1"/>
    <col min="5892" max="5892" width="1" style="18" customWidth="1"/>
    <col min="5893" max="5893" width="12.33203125" style="18" customWidth="1"/>
    <col min="5894" max="5894" width="19.33203125" style="18" customWidth="1"/>
    <col min="5895" max="5895" width="4.44140625" style="18" customWidth="1"/>
    <col min="5896" max="5896" width="1" style="18" customWidth="1"/>
    <col min="5897" max="5897" width="3" style="18" customWidth="1"/>
    <col min="5898" max="5898" width="1" style="18" customWidth="1"/>
    <col min="5899" max="5899" width="4.88671875" style="18" customWidth="1"/>
    <col min="5900" max="5900" width="1" style="18" customWidth="1"/>
    <col min="5901" max="5901" width="12.33203125" style="18" customWidth="1"/>
    <col min="5902" max="5902" width="19.33203125" style="18" customWidth="1"/>
    <col min="5903" max="5903" width="5" style="18" customWidth="1"/>
    <col min="5904" max="5904" width="1" style="18" customWidth="1"/>
    <col min="5905" max="5905" width="3" style="18" customWidth="1"/>
    <col min="5906" max="5906" width="1" style="18" customWidth="1"/>
    <col min="5907" max="5907" width="4.88671875" style="18" customWidth="1"/>
    <col min="5908" max="5908" width="1" style="18" customWidth="1"/>
    <col min="5909" max="5909" width="12.33203125" style="18" customWidth="1"/>
    <col min="5910" max="5910" width="19.33203125" style="18" customWidth="1"/>
    <col min="5911" max="5911" width="4.44140625" style="18" customWidth="1"/>
    <col min="5912" max="5912" width="1" style="18" customWidth="1"/>
    <col min="5913" max="5913" width="8.88671875" style="18"/>
    <col min="5914" max="5919" width="0" style="18" hidden="1" customWidth="1"/>
    <col min="5920" max="6144" width="8.88671875" style="18"/>
    <col min="6145" max="6145" width="0.33203125" style="18" customWidth="1"/>
    <col min="6146" max="6146" width="1" style="18" customWidth="1"/>
    <col min="6147" max="6147" width="4.88671875" style="18" customWidth="1"/>
    <col min="6148" max="6148" width="1" style="18" customWidth="1"/>
    <col min="6149" max="6149" width="12.33203125" style="18" customWidth="1"/>
    <col min="6150" max="6150" width="19.33203125" style="18" customWidth="1"/>
    <col min="6151" max="6151" width="4.44140625" style="18" customWidth="1"/>
    <col min="6152" max="6152" width="1" style="18" customWidth="1"/>
    <col min="6153" max="6153" width="3" style="18" customWidth="1"/>
    <col min="6154" max="6154" width="1" style="18" customWidth="1"/>
    <col min="6155" max="6155" width="4.88671875" style="18" customWidth="1"/>
    <col min="6156" max="6156" width="1" style="18" customWidth="1"/>
    <col min="6157" max="6157" width="12.33203125" style="18" customWidth="1"/>
    <col min="6158" max="6158" width="19.33203125" style="18" customWidth="1"/>
    <col min="6159" max="6159" width="5" style="18" customWidth="1"/>
    <col min="6160" max="6160" width="1" style="18" customWidth="1"/>
    <col min="6161" max="6161" width="3" style="18" customWidth="1"/>
    <col min="6162" max="6162" width="1" style="18" customWidth="1"/>
    <col min="6163" max="6163" width="4.88671875" style="18" customWidth="1"/>
    <col min="6164" max="6164" width="1" style="18" customWidth="1"/>
    <col min="6165" max="6165" width="12.33203125" style="18" customWidth="1"/>
    <col min="6166" max="6166" width="19.33203125" style="18" customWidth="1"/>
    <col min="6167" max="6167" width="4.44140625" style="18" customWidth="1"/>
    <col min="6168" max="6168" width="1" style="18" customWidth="1"/>
    <col min="6169" max="6169" width="8.88671875" style="18"/>
    <col min="6170" max="6175" width="0" style="18" hidden="1" customWidth="1"/>
    <col min="6176" max="6400" width="8.88671875" style="18"/>
    <col min="6401" max="6401" width="0.33203125" style="18" customWidth="1"/>
    <col min="6402" max="6402" width="1" style="18" customWidth="1"/>
    <col min="6403" max="6403" width="4.88671875" style="18" customWidth="1"/>
    <col min="6404" max="6404" width="1" style="18" customWidth="1"/>
    <col min="6405" max="6405" width="12.33203125" style="18" customWidth="1"/>
    <col min="6406" max="6406" width="19.33203125" style="18" customWidth="1"/>
    <col min="6407" max="6407" width="4.44140625" style="18" customWidth="1"/>
    <col min="6408" max="6408" width="1" style="18" customWidth="1"/>
    <col min="6409" max="6409" width="3" style="18" customWidth="1"/>
    <col min="6410" max="6410" width="1" style="18" customWidth="1"/>
    <col min="6411" max="6411" width="4.88671875" style="18" customWidth="1"/>
    <col min="6412" max="6412" width="1" style="18" customWidth="1"/>
    <col min="6413" max="6413" width="12.33203125" style="18" customWidth="1"/>
    <col min="6414" max="6414" width="19.33203125" style="18" customWidth="1"/>
    <col min="6415" max="6415" width="5" style="18" customWidth="1"/>
    <col min="6416" max="6416" width="1" style="18" customWidth="1"/>
    <col min="6417" max="6417" width="3" style="18" customWidth="1"/>
    <col min="6418" max="6418" width="1" style="18" customWidth="1"/>
    <col min="6419" max="6419" width="4.88671875" style="18" customWidth="1"/>
    <col min="6420" max="6420" width="1" style="18" customWidth="1"/>
    <col min="6421" max="6421" width="12.33203125" style="18" customWidth="1"/>
    <col min="6422" max="6422" width="19.33203125" style="18" customWidth="1"/>
    <col min="6423" max="6423" width="4.44140625" style="18" customWidth="1"/>
    <col min="6424" max="6424" width="1" style="18" customWidth="1"/>
    <col min="6425" max="6425" width="8.88671875" style="18"/>
    <col min="6426" max="6431" width="0" style="18" hidden="1" customWidth="1"/>
    <col min="6432" max="6656" width="8.88671875" style="18"/>
    <col min="6657" max="6657" width="0.33203125" style="18" customWidth="1"/>
    <col min="6658" max="6658" width="1" style="18" customWidth="1"/>
    <col min="6659" max="6659" width="4.88671875" style="18" customWidth="1"/>
    <col min="6660" max="6660" width="1" style="18" customWidth="1"/>
    <col min="6661" max="6661" width="12.33203125" style="18" customWidth="1"/>
    <col min="6662" max="6662" width="19.33203125" style="18" customWidth="1"/>
    <col min="6663" max="6663" width="4.44140625" style="18" customWidth="1"/>
    <col min="6664" max="6664" width="1" style="18" customWidth="1"/>
    <col min="6665" max="6665" width="3" style="18" customWidth="1"/>
    <col min="6666" max="6666" width="1" style="18" customWidth="1"/>
    <col min="6667" max="6667" width="4.88671875" style="18" customWidth="1"/>
    <col min="6668" max="6668" width="1" style="18" customWidth="1"/>
    <col min="6669" max="6669" width="12.33203125" style="18" customWidth="1"/>
    <col min="6670" max="6670" width="19.33203125" style="18" customWidth="1"/>
    <col min="6671" max="6671" width="5" style="18" customWidth="1"/>
    <col min="6672" max="6672" width="1" style="18" customWidth="1"/>
    <col min="6673" max="6673" width="3" style="18" customWidth="1"/>
    <col min="6674" max="6674" width="1" style="18" customWidth="1"/>
    <col min="6675" max="6675" width="4.88671875" style="18" customWidth="1"/>
    <col min="6676" max="6676" width="1" style="18" customWidth="1"/>
    <col min="6677" max="6677" width="12.33203125" style="18" customWidth="1"/>
    <col min="6678" max="6678" width="19.33203125" style="18" customWidth="1"/>
    <col min="6679" max="6679" width="4.44140625" style="18" customWidth="1"/>
    <col min="6680" max="6680" width="1" style="18" customWidth="1"/>
    <col min="6681" max="6681" width="8.88671875" style="18"/>
    <col min="6682" max="6687" width="0" style="18" hidden="1" customWidth="1"/>
    <col min="6688" max="6912" width="8.88671875" style="18"/>
    <col min="6913" max="6913" width="0.33203125" style="18" customWidth="1"/>
    <col min="6914" max="6914" width="1" style="18" customWidth="1"/>
    <col min="6915" max="6915" width="4.88671875" style="18" customWidth="1"/>
    <col min="6916" max="6916" width="1" style="18" customWidth="1"/>
    <col min="6917" max="6917" width="12.33203125" style="18" customWidth="1"/>
    <col min="6918" max="6918" width="19.33203125" style="18" customWidth="1"/>
    <col min="6919" max="6919" width="4.44140625" style="18" customWidth="1"/>
    <col min="6920" max="6920" width="1" style="18" customWidth="1"/>
    <col min="6921" max="6921" width="3" style="18" customWidth="1"/>
    <col min="6922" max="6922" width="1" style="18" customWidth="1"/>
    <col min="6923" max="6923" width="4.88671875" style="18" customWidth="1"/>
    <col min="6924" max="6924" width="1" style="18" customWidth="1"/>
    <col min="6925" max="6925" width="12.33203125" style="18" customWidth="1"/>
    <col min="6926" max="6926" width="19.33203125" style="18" customWidth="1"/>
    <col min="6927" max="6927" width="5" style="18" customWidth="1"/>
    <col min="6928" max="6928" width="1" style="18" customWidth="1"/>
    <col min="6929" max="6929" width="3" style="18" customWidth="1"/>
    <col min="6930" max="6930" width="1" style="18" customWidth="1"/>
    <col min="6931" max="6931" width="4.88671875" style="18" customWidth="1"/>
    <col min="6932" max="6932" width="1" style="18" customWidth="1"/>
    <col min="6933" max="6933" width="12.33203125" style="18" customWidth="1"/>
    <col min="6934" max="6934" width="19.33203125" style="18" customWidth="1"/>
    <col min="6935" max="6935" width="4.44140625" style="18" customWidth="1"/>
    <col min="6936" max="6936" width="1" style="18" customWidth="1"/>
    <col min="6937" max="6937" width="8.88671875" style="18"/>
    <col min="6938" max="6943" width="0" style="18" hidden="1" customWidth="1"/>
    <col min="6944" max="7168" width="8.88671875" style="18"/>
    <col min="7169" max="7169" width="0.33203125" style="18" customWidth="1"/>
    <col min="7170" max="7170" width="1" style="18" customWidth="1"/>
    <col min="7171" max="7171" width="4.88671875" style="18" customWidth="1"/>
    <col min="7172" max="7172" width="1" style="18" customWidth="1"/>
    <col min="7173" max="7173" width="12.33203125" style="18" customWidth="1"/>
    <col min="7174" max="7174" width="19.33203125" style="18" customWidth="1"/>
    <col min="7175" max="7175" width="4.44140625" style="18" customWidth="1"/>
    <col min="7176" max="7176" width="1" style="18" customWidth="1"/>
    <col min="7177" max="7177" width="3" style="18" customWidth="1"/>
    <col min="7178" max="7178" width="1" style="18" customWidth="1"/>
    <col min="7179" max="7179" width="4.88671875" style="18" customWidth="1"/>
    <col min="7180" max="7180" width="1" style="18" customWidth="1"/>
    <col min="7181" max="7181" width="12.33203125" style="18" customWidth="1"/>
    <col min="7182" max="7182" width="19.33203125" style="18" customWidth="1"/>
    <col min="7183" max="7183" width="5" style="18" customWidth="1"/>
    <col min="7184" max="7184" width="1" style="18" customWidth="1"/>
    <col min="7185" max="7185" width="3" style="18" customWidth="1"/>
    <col min="7186" max="7186" width="1" style="18" customWidth="1"/>
    <col min="7187" max="7187" width="4.88671875" style="18" customWidth="1"/>
    <col min="7188" max="7188" width="1" style="18" customWidth="1"/>
    <col min="7189" max="7189" width="12.33203125" style="18" customWidth="1"/>
    <col min="7190" max="7190" width="19.33203125" style="18" customWidth="1"/>
    <col min="7191" max="7191" width="4.44140625" style="18" customWidth="1"/>
    <col min="7192" max="7192" width="1" style="18" customWidth="1"/>
    <col min="7193" max="7193" width="8.88671875" style="18"/>
    <col min="7194" max="7199" width="0" style="18" hidden="1" customWidth="1"/>
    <col min="7200" max="7424" width="8.88671875" style="18"/>
    <col min="7425" max="7425" width="0.33203125" style="18" customWidth="1"/>
    <col min="7426" max="7426" width="1" style="18" customWidth="1"/>
    <col min="7427" max="7427" width="4.88671875" style="18" customWidth="1"/>
    <col min="7428" max="7428" width="1" style="18" customWidth="1"/>
    <col min="7429" max="7429" width="12.33203125" style="18" customWidth="1"/>
    <col min="7430" max="7430" width="19.33203125" style="18" customWidth="1"/>
    <col min="7431" max="7431" width="4.44140625" style="18" customWidth="1"/>
    <col min="7432" max="7432" width="1" style="18" customWidth="1"/>
    <col min="7433" max="7433" width="3" style="18" customWidth="1"/>
    <col min="7434" max="7434" width="1" style="18" customWidth="1"/>
    <col min="7435" max="7435" width="4.88671875" style="18" customWidth="1"/>
    <col min="7436" max="7436" width="1" style="18" customWidth="1"/>
    <col min="7437" max="7437" width="12.33203125" style="18" customWidth="1"/>
    <col min="7438" max="7438" width="19.33203125" style="18" customWidth="1"/>
    <col min="7439" max="7439" width="5" style="18" customWidth="1"/>
    <col min="7440" max="7440" width="1" style="18" customWidth="1"/>
    <col min="7441" max="7441" width="3" style="18" customWidth="1"/>
    <col min="7442" max="7442" width="1" style="18" customWidth="1"/>
    <col min="7443" max="7443" width="4.88671875" style="18" customWidth="1"/>
    <col min="7444" max="7444" width="1" style="18" customWidth="1"/>
    <col min="7445" max="7445" width="12.33203125" style="18" customWidth="1"/>
    <col min="7446" max="7446" width="19.33203125" style="18" customWidth="1"/>
    <col min="7447" max="7447" width="4.44140625" style="18" customWidth="1"/>
    <col min="7448" max="7448" width="1" style="18" customWidth="1"/>
    <col min="7449" max="7449" width="8.88671875" style="18"/>
    <col min="7450" max="7455" width="0" style="18" hidden="1" customWidth="1"/>
    <col min="7456" max="7680" width="8.88671875" style="18"/>
    <col min="7681" max="7681" width="0.33203125" style="18" customWidth="1"/>
    <col min="7682" max="7682" width="1" style="18" customWidth="1"/>
    <col min="7683" max="7683" width="4.88671875" style="18" customWidth="1"/>
    <col min="7684" max="7684" width="1" style="18" customWidth="1"/>
    <col min="7685" max="7685" width="12.33203125" style="18" customWidth="1"/>
    <col min="7686" max="7686" width="19.33203125" style="18" customWidth="1"/>
    <col min="7687" max="7687" width="4.44140625" style="18" customWidth="1"/>
    <col min="7688" max="7688" width="1" style="18" customWidth="1"/>
    <col min="7689" max="7689" width="3" style="18" customWidth="1"/>
    <col min="7690" max="7690" width="1" style="18" customWidth="1"/>
    <col min="7691" max="7691" width="4.88671875" style="18" customWidth="1"/>
    <col min="7692" max="7692" width="1" style="18" customWidth="1"/>
    <col min="7693" max="7693" width="12.33203125" style="18" customWidth="1"/>
    <col min="7694" max="7694" width="19.33203125" style="18" customWidth="1"/>
    <col min="7695" max="7695" width="5" style="18" customWidth="1"/>
    <col min="7696" max="7696" width="1" style="18" customWidth="1"/>
    <col min="7697" max="7697" width="3" style="18" customWidth="1"/>
    <col min="7698" max="7698" width="1" style="18" customWidth="1"/>
    <col min="7699" max="7699" width="4.88671875" style="18" customWidth="1"/>
    <col min="7700" max="7700" width="1" style="18" customWidth="1"/>
    <col min="7701" max="7701" width="12.33203125" style="18" customWidth="1"/>
    <col min="7702" max="7702" width="19.33203125" style="18" customWidth="1"/>
    <col min="7703" max="7703" width="4.44140625" style="18" customWidth="1"/>
    <col min="7704" max="7704" width="1" style="18" customWidth="1"/>
    <col min="7705" max="7705" width="8.88671875" style="18"/>
    <col min="7706" max="7711" width="0" style="18" hidden="1" customWidth="1"/>
    <col min="7712" max="7936" width="8.88671875" style="18"/>
    <col min="7937" max="7937" width="0.33203125" style="18" customWidth="1"/>
    <col min="7938" max="7938" width="1" style="18" customWidth="1"/>
    <col min="7939" max="7939" width="4.88671875" style="18" customWidth="1"/>
    <col min="7940" max="7940" width="1" style="18" customWidth="1"/>
    <col min="7941" max="7941" width="12.33203125" style="18" customWidth="1"/>
    <col min="7942" max="7942" width="19.33203125" style="18" customWidth="1"/>
    <col min="7943" max="7943" width="4.44140625" style="18" customWidth="1"/>
    <col min="7944" max="7944" width="1" style="18" customWidth="1"/>
    <col min="7945" max="7945" width="3" style="18" customWidth="1"/>
    <col min="7946" max="7946" width="1" style="18" customWidth="1"/>
    <col min="7947" max="7947" width="4.88671875" style="18" customWidth="1"/>
    <col min="7948" max="7948" width="1" style="18" customWidth="1"/>
    <col min="7949" max="7949" width="12.33203125" style="18" customWidth="1"/>
    <col min="7950" max="7950" width="19.33203125" style="18" customWidth="1"/>
    <col min="7951" max="7951" width="5" style="18" customWidth="1"/>
    <col min="7952" max="7952" width="1" style="18" customWidth="1"/>
    <col min="7953" max="7953" width="3" style="18" customWidth="1"/>
    <col min="7954" max="7954" width="1" style="18" customWidth="1"/>
    <col min="7955" max="7955" width="4.88671875" style="18" customWidth="1"/>
    <col min="7956" max="7956" width="1" style="18" customWidth="1"/>
    <col min="7957" max="7957" width="12.33203125" style="18" customWidth="1"/>
    <col min="7958" max="7958" width="19.33203125" style="18" customWidth="1"/>
    <col min="7959" max="7959" width="4.44140625" style="18" customWidth="1"/>
    <col min="7960" max="7960" width="1" style="18" customWidth="1"/>
    <col min="7961" max="7961" width="8.88671875" style="18"/>
    <col min="7962" max="7967" width="0" style="18" hidden="1" customWidth="1"/>
    <col min="7968" max="8192" width="8.88671875" style="18"/>
    <col min="8193" max="8193" width="0.33203125" style="18" customWidth="1"/>
    <col min="8194" max="8194" width="1" style="18" customWidth="1"/>
    <col min="8195" max="8195" width="4.88671875" style="18" customWidth="1"/>
    <col min="8196" max="8196" width="1" style="18" customWidth="1"/>
    <col min="8197" max="8197" width="12.33203125" style="18" customWidth="1"/>
    <col min="8198" max="8198" width="19.33203125" style="18" customWidth="1"/>
    <col min="8199" max="8199" width="4.44140625" style="18" customWidth="1"/>
    <col min="8200" max="8200" width="1" style="18" customWidth="1"/>
    <col min="8201" max="8201" width="3" style="18" customWidth="1"/>
    <col min="8202" max="8202" width="1" style="18" customWidth="1"/>
    <col min="8203" max="8203" width="4.88671875" style="18" customWidth="1"/>
    <col min="8204" max="8204" width="1" style="18" customWidth="1"/>
    <col min="8205" max="8205" width="12.33203125" style="18" customWidth="1"/>
    <col min="8206" max="8206" width="19.33203125" style="18" customWidth="1"/>
    <col min="8207" max="8207" width="5" style="18" customWidth="1"/>
    <col min="8208" max="8208" width="1" style="18" customWidth="1"/>
    <col min="8209" max="8209" width="3" style="18" customWidth="1"/>
    <col min="8210" max="8210" width="1" style="18" customWidth="1"/>
    <col min="8211" max="8211" width="4.88671875" style="18" customWidth="1"/>
    <col min="8212" max="8212" width="1" style="18" customWidth="1"/>
    <col min="8213" max="8213" width="12.33203125" style="18" customWidth="1"/>
    <col min="8214" max="8214" width="19.33203125" style="18" customWidth="1"/>
    <col min="8215" max="8215" width="4.44140625" style="18" customWidth="1"/>
    <col min="8216" max="8216" width="1" style="18" customWidth="1"/>
    <col min="8217" max="8217" width="8.88671875" style="18"/>
    <col min="8218" max="8223" width="0" style="18" hidden="1" customWidth="1"/>
    <col min="8224" max="8448" width="8.88671875" style="18"/>
    <col min="8449" max="8449" width="0.33203125" style="18" customWidth="1"/>
    <col min="8450" max="8450" width="1" style="18" customWidth="1"/>
    <col min="8451" max="8451" width="4.88671875" style="18" customWidth="1"/>
    <col min="8452" max="8452" width="1" style="18" customWidth="1"/>
    <col min="8453" max="8453" width="12.33203125" style="18" customWidth="1"/>
    <col min="8454" max="8454" width="19.33203125" style="18" customWidth="1"/>
    <col min="8455" max="8455" width="4.44140625" style="18" customWidth="1"/>
    <col min="8456" max="8456" width="1" style="18" customWidth="1"/>
    <col min="8457" max="8457" width="3" style="18" customWidth="1"/>
    <col min="8458" max="8458" width="1" style="18" customWidth="1"/>
    <col min="8459" max="8459" width="4.88671875" style="18" customWidth="1"/>
    <col min="8460" max="8460" width="1" style="18" customWidth="1"/>
    <col min="8461" max="8461" width="12.33203125" style="18" customWidth="1"/>
    <col min="8462" max="8462" width="19.33203125" style="18" customWidth="1"/>
    <col min="8463" max="8463" width="5" style="18" customWidth="1"/>
    <col min="8464" max="8464" width="1" style="18" customWidth="1"/>
    <col min="8465" max="8465" width="3" style="18" customWidth="1"/>
    <col min="8466" max="8466" width="1" style="18" customWidth="1"/>
    <col min="8467" max="8467" width="4.88671875" style="18" customWidth="1"/>
    <col min="8468" max="8468" width="1" style="18" customWidth="1"/>
    <col min="8469" max="8469" width="12.33203125" style="18" customWidth="1"/>
    <col min="8470" max="8470" width="19.33203125" style="18" customWidth="1"/>
    <col min="8471" max="8471" width="4.44140625" style="18" customWidth="1"/>
    <col min="8472" max="8472" width="1" style="18" customWidth="1"/>
    <col min="8473" max="8473" width="8.88671875" style="18"/>
    <col min="8474" max="8479" width="0" style="18" hidden="1" customWidth="1"/>
    <col min="8480" max="8704" width="8.88671875" style="18"/>
    <col min="8705" max="8705" width="0.33203125" style="18" customWidth="1"/>
    <col min="8706" max="8706" width="1" style="18" customWidth="1"/>
    <col min="8707" max="8707" width="4.88671875" style="18" customWidth="1"/>
    <col min="8708" max="8708" width="1" style="18" customWidth="1"/>
    <col min="8709" max="8709" width="12.33203125" style="18" customWidth="1"/>
    <col min="8710" max="8710" width="19.33203125" style="18" customWidth="1"/>
    <col min="8711" max="8711" width="4.44140625" style="18" customWidth="1"/>
    <col min="8712" max="8712" width="1" style="18" customWidth="1"/>
    <col min="8713" max="8713" width="3" style="18" customWidth="1"/>
    <col min="8714" max="8714" width="1" style="18" customWidth="1"/>
    <col min="8715" max="8715" width="4.88671875" style="18" customWidth="1"/>
    <col min="8716" max="8716" width="1" style="18" customWidth="1"/>
    <col min="8717" max="8717" width="12.33203125" style="18" customWidth="1"/>
    <col min="8718" max="8718" width="19.33203125" style="18" customWidth="1"/>
    <col min="8719" max="8719" width="5" style="18" customWidth="1"/>
    <col min="8720" max="8720" width="1" style="18" customWidth="1"/>
    <col min="8721" max="8721" width="3" style="18" customWidth="1"/>
    <col min="8722" max="8722" width="1" style="18" customWidth="1"/>
    <col min="8723" max="8723" width="4.88671875" style="18" customWidth="1"/>
    <col min="8724" max="8724" width="1" style="18" customWidth="1"/>
    <col min="8725" max="8725" width="12.33203125" style="18" customWidth="1"/>
    <col min="8726" max="8726" width="19.33203125" style="18" customWidth="1"/>
    <col min="8727" max="8727" width="4.44140625" style="18" customWidth="1"/>
    <col min="8728" max="8728" width="1" style="18" customWidth="1"/>
    <col min="8729" max="8729" width="8.88671875" style="18"/>
    <col min="8730" max="8735" width="0" style="18" hidden="1" customWidth="1"/>
    <col min="8736" max="8960" width="8.88671875" style="18"/>
    <col min="8961" max="8961" width="0.33203125" style="18" customWidth="1"/>
    <col min="8962" max="8962" width="1" style="18" customWidth="1"/>
    <col min="8963" max="8963" width="4.88671875" style="18" customWidth="1"/>
    <col min="8964" max="8964" width="1" style="18" customWidth="1"/>
    <col min="8965" max="8965" width="12.33203125" style="18" customWidth="1"/>
    <col min="8966" max="8966" width="19.33203125" style="18" customWidth="1"/>
    <col min="8967" max="8967" width="4.44140625" style="18" customWidth="1"/>
    <col min="8968" max="8968" width="1" style="18" customWidth="1"/>
    <col min="8969" max="8969" width="3" style="18" customWidth="1"/>
    <col min="8970" max="8970" width="1" style="18" customWidth="1"/>
    <col min="8971" max="8971" width="4.88671875" style="18" customWidth="1"/>
    <col min="8972" max="8972" width="1" style="18" customWidth="1"/>
    <col min="8973" max="8973" width="12.33203125" style="18" customWidth="1"/>
    <col min="8974" max="8974" width="19.33203125" style="18" customWidth="1"/>
    <col min="8975" max="8975" width="5" style="18" customWidth="1"/>
    <col min="8976" max="8976" width="1" style="18" customWidth="1"/>
    <col min="8977" max="8977" width="3" style="18" customWidth="1"/>
    <col min="8978" max="8978" width="1" style="18" customWidth="1"/>
    <col min="8979" max="8979" width="4.88671875" style="18" customWidth="1"/>
    <col min="8980" max="8980" width="1" style="18" customWidth="1"/>
    <col min="8981" max="8981" width="12.33203125" style="18" customWidth="1"/>
    <col min="8982" max="8982" width="19.33203125" style="18" customWidth="1"/>
    <col min="8983" max="8983" width="4.44140625" style="18" customWidth="1"/>
    <col min="8984" max="8984" width="1" style="18" customWidth="1"/>
    <col min="8985" max="8985" width="8.88671875" style="18"/>
    <col min="8986" max="8991" width="0" style="18" hidden="1" customWidth="1"/>
    <col min="8992" max="9216" width="8.88671875" style="18"/>
    <col min="9217" max="9217" width="0.33203125" style="18" customWidth="1"/>
    <col min="9218" max="9218" width="1" style="18" customWidth="1"/>
    <col min="9219" max="9219" width="4.88671875" style="18" customWidth="1"/>
    <col min="9220" max="9220" width="1" style="18" customWidth="1"/>
    <col min="9221" max="9221" width="12.33203125" style="18" customWidth="1"/>
    <col min="9222" max="9222" width="19.33203125" style="18" customWidth="1"/>
    <col min="9223" max="9223" width="4.44140625" style="18" customWidth="1"/>
    <col min="9224" max="9224" width="1" style="18" customWidth="1"/>
    <col min="9225" max="9225" width="3" style="18" customWidth="1"/>
    <col min="9226" max="9226" width="1" style="18" customWidth="1"/>
    <col min="9227" max="9227" width="4.88671875" style="18" customWidth="1"/>
    <col min="9228" max="9228" width="1" style="18" customWidth="1"/>
    <col min="9229" max="9229" width="12.33203125" style="18" customWidth="1"/>
    <col min="9230" max="9230" width="19.33203125" style="18" customWidth="1"/>
    <col min="9231" max="9231" width="5" style="18" customWidth="1"/>
    <col min="9232" max="9232" width="1" style="18" customWidth="1"/>
    <col min="9233" max="9233" width="3" style="18" customWidth="1"/>
    <col min="9234" max="9234" width="1" style="18" customWidth="1"/>
    <col min="9235" max="9235" width="4.88671875" style="18" customWidth="1"/>
    <col min="9236" max="9236" width="1" style="18" customWidth="1"/>
    <col min="9237" max="9237" width="12.33203125" style="18" customWidth="1"/>
    <col min="9238" max="9238" width="19.33203125" style="18" customWidth="1"/>
    <col min="9239" max="9239" width="4.44140625" style="18" customWidth="1"/>
    <col min="9240" max="9240" width="1" style="18" customWidth="1"/>
    <col min="9241" max="9241" width="8.88671875" style="18"/>
    <col min="9242" max="9247" width="0" style="18" hidden="1" customWidth="1"/>
    <col min="9248" max="9472" width="8.88671875" style="18"/>
    <col min="9473" max="9473" width="0.33203125" style="18" customWidth="1"/>
    <col min="9474" max="9474" width="1" style="18" customWidth="1"/>
    <col min="9475" max="9475" width="4.88671875" style="18" customWidth="1"/>
    <col min="9476" max="9476" width="1" style="18" customWidth="1"/>
    <col min="9477" max="9477" width="12.33203125" style="18" customWidth="1"/>
    <col min="9478" max="9478" width="19.33203125" style="18" customWidth="1"/>
    <col min="9479" max="9479" width="4.44140625" style="18" customWidth="1"/>
    <col min="9480" max="9480" width="1" style="18" customWidth="1"/>
    <col min="9481" max="9481" width="3" style="18" customWidth="1"/>
    <col min="9482" max="9482" width="1" style="18" customWidth="1"/>
    <col min="9483" max="9483" width="4.88671875" style="18" customWidth="1"/>
    <col min="9484" max="9484" width="1" style="18" customWidth="1"/>
    <col min="9485" max="9485" width="12.33203125" style="18" customWidth="1"/>
    <col min="9486" max="9486" width="19.33203125" style="18" customWidth="1"/>
    <col min="9487" max="9487" width="5" style="18" customWidth="1"/>
    <col min="9488" max="9488" width="1" style="18" customWidth="1"/>
    <col min="9489" max="9489" width="3" style="18" customWidth="1"/>
    <col min="9490" max="9490" width="1" style="18" customWidth="1"/>
    <col min="9491" max="9491" width="4.88671875" style="18" customWidth="1"/>
    <col min="9492" max="9492" width="1" style="18" customWidth="1"/>
    <col min="9493" max="9493" width="12.33203125" style="18" customWidth="1"/>
    <col min="9494" max="9494" width="19.33203125" style="18" customWidth="1"/>
    <col min="9495" max="9495" width="4.44140625" style="18" customWidth="1"/>
    <col min="9496" max="9496" width="1" style="18" customWidth="1"/>
    <col min="9497" max="9497" width="8.88671875" style="18"/>
    <col min="9498" max="9503" width="0" style="18" hidden="1" customWidth="1"/>
    <col min="9504" max="9728" width="8.88671875" style="18"/>
    <col min="9729" max="9729" width="0.33203125" style="18" customWidth="1"/>
    <col min="9730" max="9730" width="1" style="18" customWidth="1"/>
    <col min="9731" max="9731" width="4.88671875" style="18" customWidth="1"/>
    <col min="9732" max="9732" width="1" style="18" customWidth="1"/>
    <col min="9733" max="9733" width="12.33203125" style="18" customWidth="1"/>
    <col min="9734" max="9734" width="19.33203125" style="18" customWidth="1"/>
    <col min="9735" max="9735" width="4.44140625" style="18" customWidth="1"/>
    <col min="9736" max="9736" width="1" style="18" customWidth="1"/>
    <col min="9737" max="9737" width="3" style="18" customWidth="1"/>
    <col min="9738" max="9738" width="1" style="18" customWidth="1"/>
    <col min="9739" max="9739" width="4.88671875" style="18" customWidth="1"/>
    <col min="9740" max="9740" width="1" style="18" customWidth="1"/>
    <col min="9741" max="9741" width="12.33203125" style="18" customWidth="1"/>
    <col min="9742" max="9742" width="19.33203125" style="18" customWidth="1"/>
    <col min="9743" max="9743" width="5" style="18" customWidth="1"/>
    <col min="9744" max="9744" width="1" style="18" customWidth="1"/>
    <col min="9745" max="9745" width="3" style="18" customWidth="1"/>
    <col min="9746" max="9746" width="1" style="18" customWidth="1"/>
    <col min="9747" max="9747" width="4.88671875" style="18" customWidth="1"/>
    <col min="9748" max="9748" width="1" style="18" customWidth="1"/>
    <col min="9749" max="9749" width="12.33203125" style="18" customWidth="1"/>
    <col min="9750" max="9750" width="19.33203125" style="18" customWidth="1"/>
    <col min="9751" max="9751" width="4.44140625" style="18" customWidth="1"/>
    <col min="9752" max="9752" width="1" style="18" customWidth="1"/>
    <col min="9753" max="9753" width="8.88671875" style="18"/>
    <col min="9754" max="9759" width="0" style="18" hidden="1" customWidth="1"/>
    <col min="9760" max="9984" width="8.88671875" style="18"/>
    <col min="9985" max="9985" width="0.33203125" style="18" customWidth="1"/>
    <col min="9986" max="9986" width="1" style="18" customWidth="1"/>
    <col min="9987" max="9987" width="4.88671875" style="18" customWidth="1"/>
    <col min="9988" max="9988" width="1" style="18" customWidth="1"/>
    <col min="9989" max="9989" width="12.33203125" style="18" customWidth="1"/>
    <col min="9990" max="9990" width="19.33203125" style="18" customWidth="1"/>
    <col min="9991" max="9991" width="4.44140625" style="18" customWidth="1"/>
    <col min="9992" max="9992" width="1" style="18" customWidth="1"/>
    <col min="9993" max="9993" width="3" style="18" customWidth="1"/>
    <col min="9994" max="9994" width="1" style="18" customWidth="1"/>
    <col min="9995" max="9995" width="4.88671875" style="18" customWidth="1"/>
    <col min="9996" max="9996" width="1" style="18" customWidth="1"/>
    <col min="9997" max="9997" width="12.33203125" style="18" customWidth="1"/>
    <col min="9998" max="9998" width="19.33203125" style="18" customWidth="1"/>
    <col min="9999" max="9999" width="5" style="18" customWidth="1"/>
    <col min="10000" max="10000" width="1" style="18" customWidth="1"/>
    <col min="10001" max="10001" width="3" style="18" customWidth="1"/>
    <col min="10002" max="10002" width="1" style="18" customWidth="1"/>
    <col min="10003" max="10003" width="4.88671875" style="18" customWidth="1"/>
    <col min="10004" max="10004" width="1" style="18" customWidth="1"/>
    <col min="10005" max="10005" width="12.33203125" style="18" customWidth="1"/>
    <col min="10006" max="10006" width="19.33203125" style="18" customWidth="1"/>
    <col min="10007" max="10007" width="4.44140625" style="18" customWidth="1"/>
    <col min="10008" max="10008" width="1" style="18" customWidth="1"/>
    <col min="10009" max="10009" width="8.88671875" style="18"/>
    <col min="10010" max="10015" width="0" style="18" hidden="1" customWidth="1"/>
    <col min="10016" max="10240" width="8.88671875" style="18"/>
    <col min="10241" max="10241" width="0.33203125" style="18" customWidth="1"/>
    <col min="10242" max="10242" width="1" style="18" customWidth="1"/>
    <col min="10243" max="10243" width="4.88671875" style="18" customWidth="1"/>
    <col min="10244" max="10244" width="1" style="18" customWidth="1"/>
    <col min="10245" max="10245" width="12.33203125" style="18" customWidth="1"/>
    <col min="10246" max="10246" width="19.33203125" style="18" customWidth="1"/>
    <col min="10247" max="10247" width="4.44140625" style="18" customWidth="1"/>
    <col min="10248" max="10248" width="1" style="18" customWidth="1"/>
    <col min="10249" max="10249" width="3" style="18" customWidth="1"/>
    <col min="10250" max="10250" width="1" style="18" customWidth="1"/>
    <col min="10251" max="10251" width="4.88671875" style="18" customWidth="1"/>
    <col min="10252" max="10252" width="1" style="18" customWidth="1"/>
    <col min="10253" max="10253" width="12.33203125" style="18" customWidth="1"/>
    <col min="10254" max="10254" width="19.33203125" style="18" customWidth="1"/>
    <col min="10255" max="10255" width="5" style="18" customWidth="1"/>
    <col min="10256" max="10256" width="1" style="18" customWidth="1"/>
    <col min="10257" max="10257" width="3" style="18" customWidth="1"/>
    <col min="10258" max="10258" width="1" style="18" customWidth="1"/>
    <col min="10259" max="10259" width="4.88671875" style="18" customWidth="1"/>
    <col min="10260" max="10260" width="1" style="18" customWidth="1"/>
    <col min="10261" max="10261" width="12.33203125" style="18" customWidth="1"/>
    <col min="10262" max="10262" width="19.33203125" style="18" customWidth="1"/>
    <col min="10263" max="10263" width="4.44140625" style="18" customWidth="1"/>
    <col min="10264" max="10264" width="1" style="18" customWidth="1"/>
    <col min="10265" max="10265" width="8.88671875" style="18"/>
    <col min="10266" max="10271" width="0" style="18" hidden="1" customWidth="1"/>
    <col min="10272" max="10496" width="8.88671875" style="18"/>
    <col min="10497" max="10497" width="0.33203125" style="18" customWidth="1"/>
    <col min="10498" max="10498" width="1" style="18" customWidth="1"/>
    <col min="10499" max="10499" width="4.88671875" style="18" customWidth="1"/>
    <col min="10500" max="10500" width="1" style="18" customWidth="1"/>
    <col min="10501" max="10501" width="12.33203125" style="18" customWidth="1"/>
    <col min="10502" max="10502" width="19.33203125" style="18" customWidth="1"/>
    <col min="10503" max="10503" width="4.44140625" style="18" customWidth="1"/>
    <col min="10504" max="10504" width="1" style="18" customWidth="1"/>
    <col min="10505" max="10505" width="3" style="18" customWidth="1"/>
    <col min="10506" max="10506" width="1" style="18" customWidth="1"/>
    <col min="10507" max="10507" width="4.88671875" style="18" customWidth="1"/>
    <col min="10508" max="10508" width="1" style="18" customWidth="1"/>
    <col min="10509" max="10509" width="12.33203125" style="18" customWidth="1"/>
    <col min="10510" max="10510" width="19.33203125" style="18" customWidth="1"/>
    <col min="10511" max="10511" width="5" style="18" customWidth="1"/>
    <col min="10512" max="10512" width="1" style="18" customWidth="1"/>
    <col min="10513" max="10513" width="3" style="18" customWidth="1"/>
    <col min="10514" max="10514" width="1" style="18" customWidth="1"/>
    <col min="10515" max="10515" width="4.88671875" style="18" customWidth="1"/>
    <col min="10516" max="10516" width="1" style="18" customWidth="1"/>
    <col min="10517" max="10517" width="12.33203125" style="18" customWidth="1"/>
    <col min="10518" max="10518" width="19.33203125" style="18" customWidth="1"/>
    <col min="10519" max="10519" width="4.44140625" style="18" customWidth="1"/>
    <col min="10520" max="10520" width="1" style="18" customWidth="1"/>
    <col min="10521" max="10521" width="8.88671875" style="18"/>
    <col min="10522" max="10527" width="0" style="18" hidden="1" customWidth="1"/>
    <col min="10528" max="10752" width="8.88671875" style="18"/>
    <col min="10753" max="10753" width="0.33203125" style="18" customWidth="1"/>
    <col min="10754" max="10754" width="1" style="18" customWidth="1"/>
    <col min="10755" max="10755" width="4.88671875" style="18" customWidth="1"/>
    <col min="10756" max="10756" width="1" style="18" customWidth="1"/>
    <col min="10757" max="10757" width="12.33203125" style="18" customWidth="1"/>
    <col min="10758" max="10758" width="19.33203125" style="18" customWidth="1"/>
    <col min="10759" max="10759" width="4.44140625" style="18" customWidth="1"/>
    <col min="10760" max="10760" width="1" style="18" customWidth="1"/>
    <col min="10761" max="10761" width="3" style="18" customWidth="1"/>
    <col min="10762" max="10762" width="1" style="18" customWidth="1"/>
    <col min="10763" max="10763" width="4.88671875" style="18" customWidth="1"/>
    <col min="10764" max="10764" width="1" style="18" customWidth="1"/>
    <col min="10765" max="10765" width="12.33203125" style="18" customWidth="1"/>
    <col min="10766" max="10766" width="19.33203125" style="18" customWidth="1"/>
    <col min="10767" max="10767" width="5" style="18" customWidth="1"/>
    <col min="10768" max="10768" width="1" style="18" customWidth="1"/>
    <col min="10769" max="10769" width="3" style="18" customWidth="1"/>
    <col min="10770" max="10770" width="1" style="18" customWidth="1"/>
    <col min="10771" max="10771" width="4.88671875" style="18" customWidth="1"/>
    <col min="10772" max="10772" width="1" style="18" customWidth="1"/>
    <col min="10773" max="10773" width="12.33203125" style="18" customWidth="1"/>
    <col min="10774" max="10774" width="19.33203125" style="18" customWidth="1"/>
    <col min="10775" max="10775" width="4.44140625" style="18" customWidth="1"/>
    <col min="10776" max="10776" width="1" style="18" customWidth="1"/>
    <col min="10777" max="10777" width="8.88671875" style="18"/>
    <col min="10778" max="10783" width="0" style="18" hidden="1" customWidth="1"/>
    <col min="10784" max="11008" width="8.88671875" style="18"/>
    <col min="11009" max="11009" width="0.33203125" style="18" customWidth="1"/>
    <col min="11010" max="11010" width="1" style="18" customWidth="1"/>
    <col min="11011" max="11011" width="4.88671875" style="18" customWidth="1"/>
    <col min="11012" max="11012" width="1" style="18" customWidth="1"/>
    <col min="11013" max="11013" width="12.33203125" style="18" customWidth="1"/>
    <col min="11014" max="11014" width="19.33203125" style="18" customWidth="1"/>
    <col min="11015" max="11015" width="4.44140625" style="18" customWidth="1"/>
    <col min="11016" max="11016" width="1" style="18" customWidth="1"/>
    <col min="11017" max="11017" width="3" style="18" customWidth="1"/>
    <col min="11018" max="11018" width="1" style="18" customWidth="1"/>
    <col min="11019" max="11019" width="4.88671875" style="18" customWidth="1"/>
    <col min="11020" max="11020" width="1" style="18" customWidth="1"/>
    <col min="11021" max="11021" width="12.33203125" style="18" customWidth="1"/>
    <col min="11022" max="11022" width="19.33203125" style="18" customWidth="1"/>
    <col min="11023" max="11023" width="5" style="18" customWidth="1"/>
    <col min="11024" max="11024" width="1" style="18" customWidth="1"/>
    <col min="11025" max="11025" width="3" style="18" customWidth="1"/>
    <col min="11026" max="11026" width="1" style="18" customWidth="1"/>
    <col min="11027" max="11027" width="4.88671875" style="18" customWidth="1"/>
    <col min="11028" max="11028" width="1" style="18" customWidth="1"/>
    <col min="11029" max="11029" width="12.33203125" style="18" customWidth="1"/>
    <col min="11030" max="11030" width="19.33203125" style="18" customWidth="1"/>
    <col min="11031" max="11031" width="4.44140625" style="18" customWidth="1"/>
    <col min="11032" max="11032" width="1" style="18" customWidth="1"/>
    <col min="11033" max="11033" width="8.88671875" style="18"/>
    <col min="11034" max="11039" width="0" style="18" hidden="1" customWidth="1"/>
    <col min="11040" max="11264" width="8.88671875" style="18"/>
    <col min="11265" max="11265" width="0.33203125" style="18" customWidth="1"/>
    <col min="11266" max="11266" width="1" style="18" customWidth="1"/>
    <col min="11267" max="11267" width="4.88671875" style="18" customWidth="1"/>
    <col min="11268" max="11268" width="1" style="18" customWidth="1"/>
    <col min="11269" max="11269" width="12.33203125" style="18" customWidth="1"/>
    <col min="11270" max="11270" width="19.33203125" style="18" customWidth="1"/>
    <col min="11271" max="11271" width="4.44140625" style="18" customWidth="1"/>
    <col min="11272" max="11272" width="1" style="18" customWidth="1"/>
    <col min="11273" max="11273" width="3" style="18" customWidth="1"/>
    <col min="11274" max="11274" width="1" style="18" customWidth="1"/>
    <col min="11275" max="11275" width="4.88671875" style="18" customWidth="1"/>
    <col min="11276" max="11276" width="1" style="18" customWidth="1"/>
    <col min="11277" max="11277" width="12.33203125" style="18" customWidth="1"/>
    <col min="11278" max="11278" width="19.33203125" style="18" customWidth="1"/>
    <col min="11279" max="11279" width="5" style="18" customWidth="1"/>
    <col min="11280" max="11280" width="1" style="18" customWidth="1"/>
    <col min="11281" max="11281" width="3" style="18" customWidth="1"/>
    <col min="11282" max="11282" width="1" style="18" customWidth="1"/>
    <col min="11283" max="11283" width="4.88671875" style="18" customWidth="1"/>
    <col min="11284" max="11284" width="1" style="18" customWidth="1"/>
    <col min="11285" max="11285" width="12.33203125" style="18" customWidth="1"/>
    <col min="11286" max="11286" width="19.33203125" style="18" customWidth="1"/>
    <col min="11287" max="11287" width="4.44140625" style="18" customWidth="1"/>
    <col min="11288" max="11288" width="1" style="18" customWidth="1"/>
    <col min="11289" max="11289" width="8.88671875" style="18"/>
    <col min="11290" max="11295" width="0" style="18" hidden="1" customWidth="1"/>
    <col min="11296" max="11520" width="8.88671875" style="18"/>
    <col min="11521" max="11521" width="0.33203125" style="18" customWidth="1"/>
    <col min="11522" max="11522" width="1" style="18" customWidth="1"/>
    <col min="11523" max="11523" width="4.88671875" style="18" customWidth="1"/>
    <col min="11524" max="11524" width="1" style="18" customWidth="1"/>
    <col min="11525" max="11525" width="12.33203125" style="18" customWidth="1"/>
    <col min="11526" max="11526" width="19.33203125" style="18" customWidth="1"/>
    <col min="11527" max="11527" width="4.44140625" style="18" customWidth="1"/>
    <col min="11528" max="11528" width="1" style="18" customWidth="1"/>
    <col min="11529" max="11529" width="3" style="18" customWidth="1"/>
    <col min="11530" max="11530" width="1" style="18" customWidth="1"/>
    <col min="11531" max="11531" width="4.88671875" style="18" customWidth="1"/>
    <col min="11532" max="11532" width="1" style="18" customWidth="1"/>
    <col min="11533" max="11533" width="12.33203125" style="18" customWidth="1"/>
    <col min="11534" max="11534" width="19.33203125" style="18" customWidth="1"/>
    <col min="11535" max="11535" width="5" style="18" customWidth="1"/>
    <col min="11536" max="11536" width="1" style="18" customWidth="1"/>
    <col min="11537" max="11537" width="3" style="18" customWidth="1"/>
    <col min="11538" max="11538" width="1" style="18" customWidth="1"/>
    <col min="11539" max="11539" width="4.88671875" style="18" customWidth="1"/>
    <col min="11540" max="11540" width="1" style="18" customWidth="1"/>
    <col min="11541" max="11541" width="12.33203125" style="18" customWidth="1"/>
    <col min="11542" max="11542" width="19.33203125" style="18" customWidth="1"/>
    <col min="11543" max="11543" width="4.44140625" style="18" customWidth="1"/>
    <col min="11544" max="11544" width="1" style="18" customWidth="1"/>
    <col min="11545" max="11545" width="8.88671875" style="18"/>
    <col min="11546" max="11551" width="0" style="18" hidden="1" customWidth="1"/>
    <col min="11552" max="11776" width="8.88671875" style="18"/>
    <col min="11777" max="11777" width="0.33203125" style="18" customWidth="1"/>
    <col min="11778" max="11778" width="1" style="18" customWidth="1"/>
    <col min="11779" max="11779" width="4.88671875" style="18" customWidth="1"/>
    <col min="11780" max="11780" width="1" style="18" customWidth="1"/>
    <col min="11781" max="11781" width="12.33203125" style="18" customWidth="1"/>
    <col min="11782" max="11782" width="19.33203125" style="18" customWidth="1"/>
    <col min="11783" max="11783" width="4.44140625" style="18" customWidth="1"/>
    <col min="11784" max="11784" width="1" style="18" customWidth="1"/>
    <col min="11785" max="11785" width="3" style="18" customWidth="1"/>
    <col min="11786" max="11786" width="1" style="18" customWidth="1"/>
    <col min="11787" max="11787" width="4.88671875" style="18" customWidth="1"/>
    <col min="11788" max="11788" width="1" style="18" customWidth="1"/>
    <col min="11789" max="11789" width="12.33203125" style="18" customWidth="1"/>
    <col min="11790" max="11790" width="19.33203125" style="18" customWidth="1"/>
    <col min="11791" max="11791" width="5" style="18" customWidth="1"/>
    <col min="11792" max="11792" width="1" style="18" customWidth="1"/>
    <col min="11793" max="11793" width="3" style="18" customWidth="1"/>
    <col min="11794" max="11794" width="1" style="18" customWidth="1"/>
    <col min="11795" max="11795" width="4.88671875" style="18" customWidth="1"/>
    <col min="11796" max="11796" width="1" style="18" customWidth="1"/>
    <col min="11797" max="11797" width="12.33203125" style="18" customWidth="1"/>
    <col min="11798" max="11798" width="19.33203125" style="18" customWidth="1"/>
    <col min="11799" max="11799" width="4.44140625" style="18" customWidth="1"/>
    <col min="11800" max="11800" width="1" style="18" customWidth="1"/>
    <col min="11801" max="11801" width="8.88671875" style="18"/>
    <col min="11802" max="11807" width="0" style="18" hidden="1" customWidth="1"/>
    <col min="11808" max="12032" width="8.88671875" style="18"/>
    <col min="12033" max="12033" width="0.33203125" style="18" customWidth="1"/>
    <col min="12034" max="12034" width="1" style="18" customWidth="1"/>
    <col min="12035" max="12035" width="4.88671875" style="18" customWidth="1"/>
    <col min="12036" max="12036" width="1" style="18" customWidth="1"/>
    <col min="12037" max="12037" width="12.33203125" style="18" customWidth="1"/>
    <col min="12038" max="12038" width="19.33203125" style="18" customWidth="1"/>
    <col min="12039" max="12039" width="4.44140625" style="18" customWidth="1"/>
    <col min="12040" max="12040" width="1" style="18" customWidth="1"/>
    <col min="12041" max="12041" width="3" style="18" customWidth="1"/>
    <col min="12042" max="12042" width="1" style="18" customWidth="1"/>
    <col min="12043" max="12043" width="4.88671875" style="18" customWidth="1"/>
    <col min="12044" max="12044" width="1" style="18" customWidth="1"/>
    <col min="12045" max="12045" width="12.33203125" style="18" customWidth="1"/>
    <col min="12046" max="12046" width="19.33203125" style="18" customWidth="1"/>
    <col min="12047" max="12047" width="5" style="18" customWidth="1"/>
    <col min="12048" max="12048" width="1" style="18" customWidth="1"/>
    <col min="12049" max="12049" width="3" style="18" customWidth="1"/>
    <col min="12050" max="12050" width="1" style="18" customWidth="1"/>
    <col min="12051" max="12051" width="4.88671875" style="18" customWidth="1"/>
    <col min="12052" max="12052" width="1" style="18" customWidth="1"/>
    <col min="12053" max="12053" width="12.33203125" style="18" customWidth="1"/>
    <col min="12054" max="12054" width="19.33203125" style="18" customWidth="1"/>
    <col min="12055" max="12055" width="4.44140625" style="18" customWidth="1"/>
    <col min="12056" max="12056" width="1" style="18" customWidth="1"/>
    <col min="12057" max="12057" width="8.88671875" style="18"/>
    <col min="12058" max="12063" width="0" style="18" hidden="1" customWidth="1"/>
    <col min="12064" max="12288" width="8.88671875" style="18"/>
    <col min="12289" max="12289" width="0.33203125" style="18" customWidth="1"/>
    <col min="12290" max="12290" width="1" style="18" customWidth="1"/>
    <col min="12291" max="12291" width="4.88671875" style="18" customWidth="1"/>
    <col min="12292" max="12292" width="1" style="18" customWidth="1"/>
    <col min="12293" max="12293" width="12.33203125" style="18" customWidth="1"/>
    <col min="12294" max="12294" width="19.33203125" style="18" customWidth="1"/>
    <col min="12295" max="12295" width="4.44140625" style="18" customWidth="1"/>
    <col min="12296" max="12296" width="1" style="18" customWidth="1"/>
    <col min="12297" max="12297" width="3" style="18" customWidth="1"/>
    <col min="12298" max="12298" width="1" style="18" customWidth="1"/>
    <col min="12299" max="12299" width="4.88671875" style="18" customWidth="1"/>
    <col min="12300" max="12300" width="1" style="18" customWidth="1"/>
    <col min="12301" max="12301" width="12.33203125" style="18" customWidth="1"/>
    <col min="12302" max="12302" width="19.33203125" style="18" customWidth="1"/>
    <col min="12303" max="12303" width="5" style="18" customWidth="1"/>
    <col min="12304" max="12304" width="1" style="18" customWidth="1"/>
    <col min="12305" max="12305" width="3" style="18" customWidth="1"/>
    <col min="12306" max="12306" width="1" style="18" customWidth="1"/>
    <col min="12307" max="12307" width="4.88671875" style="18" customWidth="1"/>
    <col min="12308" max="12308" width="1" style="18" customWidth="1"/>
    <col min="12309" max="12309" width="12.33203125" style="18" customWidth="1"/>
    <col min="12310" max="12310" width="19.33203125" style="18" customWidth="1"/>
    <col min="12311" max="12311" width="4.44140625" style="18" customWidth="1"/>
    <col min="12312" max="12312" width="1" style="18" customWidth="1"/>
    <col min="12313" max="12313" width="8.88671875" style="18"/>
    <col min="12314" max="12319" width="0" style="18" hidden="1" customWidth="1"/>
    <col min="12320" max="12544" width="8.88671875" style="18"/>
    <col min="12545" max="12545" width="0.33203125" style="18" customWidth="1"/>
    <col min="12546" max="12546" width="1" style="18" customWidth="1"/>
    <col min="12547" max="12547" width="4.88671875" style="18" customWidth="1"/>
    <col min="12548" max="12548" width="1" style="18" customWidth="1"/>
    <col min="12549" max="12549" width="12.33203125" style="18" customWidth="1"/>
    <col min="12550" max="12550" width="19.33203125" style="18" customWidth="1"/>
    <col min="12551" max="12551" width="4.44140625" style="18" customWidth="1"/>
    <col min="12552" max="12552" width="1" style="18" customWidth="1"/>
    <col min="12553" max="12553" width="3" style="18" customWidth="1"/>
    <col min="12554" max="12554" width="1" style="18" customWidth="1"/>
    <col min="12555" max="12555" width="4.88671875" style="18" customWidth="1"/>
    <col min="12556" max="12556" width="1" style="18" customWidth="1"/>
    <col min="12557" max="12557" width="12.33203125" style="18" customWidth="1"/>
    <col min="12558" max="12558" width="19.33203125" style="18" customWidth="1"/>
    <col min="12559" max="12559" width="5" style="18" customWidth="1"/>
    <col min="12560" max="12560" width="1" style="18" customWidth="1"/>
    <col min="12561" max="12561" width="3" style="18" customWidth="1"/>
    <col min="12562" max="12562" width="1" style="18" customWidth="1"/>
    <col min="12563" max="12563" width="4.88671875" style="18" customWidth="1"/>
    <col min="12564" max="12564" width="1" style="18" customWidth="1"/>
    <col min="12565" max="12565" width="12.33203125" style="18" customWidth="1"/>
    <col min="12566" max="12566" width="19.33203125" style="18" customWidth="1"/>
    <col min="12567" max="12567" width="4.44140625" style="18" customWidth="1"/>
    <col min="12568" max="12568" width="1" style="18" customWidth="1"/>
    <col min="12569" max="12569" width="8.88671875" style="18"/>
    <col min="12570" max="12575" width="0" style="18" hidden="1" customWidth="1"/>
    <col min="12576" max="12800" width="8.88671875" style="18"/>
    <col min="12801" max="12801" width="0.33203125" style="18" customWidth="1"/>
    <col min="12802" max="12802" width="1" style="18" customWidth="1"/>
    <col min="12803" max="12803" width="4.88671875" style="18" customWidth="1"/>
    <col min="12804" max="12804" width="1" style="18" customWidth="1"/>
    <col min="12805" max="12805" width="12.33203125" style="18" customWidth="1"/>
    <col min="12806" max="12806" width="19.33203125" style="18" customWidth="1"/>
    <col min="12807" max="12807" width="4.44140625" style="18" customWidth="1"/>
    <col min="12808" max="12808" width="1" style="18" customWidth="1"/>
    <col min="12809" max="12809" width="3" style="18" customWidth="1"/>
    <col min="12810" max="12810" width="1" style="18" customWidth="1"/>
    <col min="12811" max="12811" width="4.88671875" style="18" customWidth="1"/>
    <col min="12812" max="12812" width="1" style="18" customWidth="1"/>
    <col min="12813" max="12813" width="12.33203125" style="18" customWidth="1"/>
    <col min="12814" max="12814" width="19.33203125" style="18" customWidth="1"/>
    <col min="12815" max="12815" width="5" style="18" customWidth="1"/>
    <col min="12816" max="12816" width="1" style="18" customWidth="1"/>
    <col min="12817" max="12817" width="3" style="18" customWidth="1"/>
    <col min="12818" max="12818" width="1" style="18" customWidth="1"/>
    <col min="12819" max="12819" width="4.88671875" style="18" customWidth="1"/>
    <col min="12820" max="12820" width="1" style="18" customWidth="1"/>
    <col min="12821" max="12821" width="12.33203125" style="18" customWidth="1"/>
    <col min="12822" max="12822" width="19.33203125" style="18" customWidth="1"/>
    <col min="12823" max="12823" width="4.44140625" style="18" customWidth="1"/>
    <col min="12824" max="12824" width="1" style="18" customWidth="1"/>
    <col min="12825" max="12825" width="8.88671875" style="18"/>
    <col min="12826" max="12831" width="0" style="18" hidden="1" customWidth="1"/>
    <col min="12832" max="13056" width="8.88671875" style="18"/>
    <col min="13057" max="13057" width="0.33203125" style="18" customWidth="1"/>
    <col min="13058" max="13058" width="1" style="18" customWidth="1"/>
    <col min="13059" max="13059" width="4.88671875" style="18" customWidth="1"/>
    <col min="13060" max="13060" width="1" style="18" customWidth="1"/>
    <col min="13061" max="13061" width="12.33203125" style="18" customWidth="1"/>
    <col min="13062" max="13062" width="19.33203125" style="18" customWidth="1"/>
    <col min="13063" max="13063" width="4.44140625" style="18" customWidth="1"/>
    <col min="13064" max="13064" width="1" style="18" customWidth="1"/>
    <col min="13065" max="13065" width="3" style="18" customWidth="1"/>
    <col min="13066" max="13066" width="1" style="18" customWidth="1"/>
    <col min="13067" max="13067" width="4.88671875" style="18" customWidth="1"/>
    <col min="13068" max="13068" width="1" style="18" customWidth="1"/>
    <col min="13069" max="13069" width="12.33203125" style="18" customWidth="1"/>
    <col min="13070" max="13070" width="19.33203125" style="18" customWidth="1"/>
    <col min="13071" max="13071" width="5" style="18" customWidth="1"/>
    <col min="13072" max="13072" width="1" style="18" customWidth="1"/>
    <col min="13073" max="13073" width="3" style="18" customWidth="1"/>
    <col min="13074" max="13074" width="1" style="18" customWidth="1"/>
    <col min="13075" max="13075" width="4.88671875" style="18" customWidth="1"/>
    <col min="13076" max="13076" width="1" style="18" customWidth="1"/>
    <col min="13077" max="13077" width="12.33203125" style="18" customWidth="1"/>
    <col min="13078" max="13078" width="19.33203125" style="18" customWidth="1"/>
    <col min="13079" max="13079" width="4.44140625" style="18" customWidth="1"/>
    <col min="13080" max="13080" width="1" style="18" customWidth="1"/>
    <col min="13081" max="13081" width="8.88671875" style="18"/>
    <col min="13082" max="13087" width="0" style="18" hidden="1" customWidth="1"/>
    <col min="13088" max="13312" width="8.88671875" style="18"/>
    <col min="13313" max="13313" width="0.33203125" style="18" customWidth="1"/>
    <col min="13314" max="13314" width="1" style="18" customWidth="1"/>
    <col min="13315" max="13315" width="4.88671875" style="18" customWidth="1"/>
    <col min="13316" max="13316" width="1" style="18" customWidth="1"/>
    <col min="13317" max="13317" width="12.33203125" style="18" customWidth="1"/>
    <col min="13318" max="13318" width="19.33203125" style="18" customWidth="1"/>
    <col min="13319" max="13319" width="4.44140625" style="18" customWidth="1"/>
    <col min="13320" max="13320" width="1" style="18" customWidth="1"/>
    <col min="13321" max="13321" width="3" style="18" customWidth="1"/>
    <col min="13322" max="13322" width="1" style="18" customWidth="1"/>
    <col min="13323" max="13323" width="4.88671875" style="18" customWidth="1"/>
    <col min="13324" max="13324" width="1" style="18" customWidth="1"/>
    <col min="13325" max="13325" width="12.33203125" style="18" customWidth="1"/>
    <col min="13326" max="13326" width="19.33203125" style="18" customWidth="1"/>
    <col min="13327" max="13327" width="5" style="18" customWidth="1"/>
    <col min="13328" max="13328" width="1" style="18" customWidth="1"/>
    <col min="13329" max="13329" width="3" style="18" customWidth="1"/>
    <col min="13330" max="13330" width="1" style="18" customWidth="1"/>
    <col min="13331" max="13331" width="4.88671875" style="18" customWidth="1"/>
    <col min="13332" max="13332" width="1" style="18" customWidth="1"/>
    <col min="13333" max="13333" width="12.33203125" style="18" customWidth="1"/>
    <col min="13334" max="13334" width="19.33203125" style="18" customWidth="1"/>
    <col min="13335" max="13335" width="4.44140625" style="18" customWidth="1"/>
    <col min="13336" max="13336" width="1" style="18" customWidth="1"/>
    <col min="13337" max="13337" width="8.88671875" style="18"/>
    <col min="13338" max="13343" width="0" style="18" hidden="1" customWidth="1"/>
    <col min="13344" max="13568" width="8.88671875" style="18"/>
    <col min="13569" max="13569" width="0.33203125" style="18" customWidth="1"/>
    <col min="13570" max="13570" width="1" style="18" customWidth="1"/>
    <col min="13571" max="13571" width="4.88671875" style="18" customWidth="1"/>
    <col min="13572" max="13572" width="1" style="18" customWidth="1"/>
    <col min="13573" max="13573" width="12.33203125" style="18" customWidth="1"/>
    <col min="13574" max="13574" width="19.33203125" style="18" customWidth="1"/>
    <col min="13575" max="13575" width="4.44140625" style="18" customWidth="1"/>
    <col min="13576" max="13576" width="1" style="18" customWidth="1"/>
    <col min="13577" max="13577" width="3" style="18" customWidth="1"/>
    <col min="13578" max="13578" width="1" style="18" customWidth="1"/>
    <col min="13579" max="13579" width="4.88671875" style="18" customWidth="1"/>
    <col min="13580" max="13580" width="1" style="18" customWidth="1"/>
    <col min="13581" max="13581" width="12.33203125" style="18" customWidth="1"/>
    <col min="13582" max="13582" width="19.33203125" style="18" customWidth="1"/>
    <col min="13583" max="13583" width="5" style="18" customWidth="1"/>
    <col min="13584" max="13584" width="1" style="18" customWidth="1"/>
    <col min="13585" max="13585" width="3" style="18" customWidth="1"/>
    <col min="13586" max="13586" width="1" style="18" customWidth="1"/>
    <col min="13587" max="13587" width="4.88671875" style="18" customWidth="1"/>
    <col min="13588" max="13588" width="1" style="18" customWidth="1"/>
    <col min="13589" max="13589" width="12.33203125" style="18" customWidth="1"/>
    <col min="13590" max="13590" width="19.33203125" style="18" customWidth="1"/>
    <col min="13591" max="13591" width="4.44140625" style="18" customWidth="1"/>
    <col min="13592" max="13592" width="1" style="18" customWidth="1"/>
    <col min="13593" max="13593" width="8.88671875" style="18"/>
    <col min="13594" max="13599" width="0" style="18" hidden="1" customWidth="1"/>
    <col min="13600" max="13824" width="8.88671875" style="18"/>
    <col min="13825" max="13825" width="0.33203125" style="18" customWidth="1"/>
    <col min="13826" max="13826" width="1" style="18" customWidth="1"/>
    <col min="13827" max="13827" width="4.88671875" style="18" customWidth="1"/>
    <col min="13828" max="13828" width="1" style="18" customWidth="1"/>
    <col min="13829" max="13829" width="12.33203125" style="18" customWidth="1"/>
    <col min="13830" max="13830" width="19.33203125" style="18" customWidth="1"/>
    <col min="13831" max="13831" width="4.44140625" style="18" customWidth="1"/>
    <col min="13832" max="13832" width="1" style="18" customWidth="1"/>
    <col min="13833" max="13833" width="3" style="18" customWidth="1"/>
    <col min="13834" max="13834" width="1" style="18" customWidth="1"/>
    <col min="13835" max="13835" width="4.88671875" style="18" customWidth="1"/>
    <col min="13836" max="13836" width="1" style="18" customWidth="1"/>
    <col min="13837" max="13837" width="12.33203125" style="18" customWidth="1"/>
    <col min="13838" max="13838" width="19.33203125" style="18" customWidth="1"/>
    <col min="13839" max="13839" width="5" style="18" customWidth="1"/>
    <col min="13840" max="13840" width="1" style="18" customWidth="1"/>
    <col min="13841" max="13841" width="3" style="18" customWidth="1"/>
    <col min="13842" max="13842" width="1" style="18" customWidth="1"/>
    <col min="13843" max="13843" width="4.88671875" style="18" customWidth="1"/>
    <col min="13844" max="13844" width="1" style="18" customWidth="1"/>
    <col min="13845" max="13845" width="12.33203125" style="18" customWidth="1"/>
    <col min="13846" max="13846" width="19.33203125" style="18" customWidth="1"/>
    <col min="13847" max="13847" width="4.44140625" style="18" customWidth="1"/>
    <col min="13848" max="13848" width="1" style="18" customWidth="1"/>
    <col min="13849" max="13849" width="8.88671875" style="18"/>
    <col min="13850" max="13855" width="0" style="18" hidden="1" customWidth="1"/>
    <col min="13856" max="14080" width="8.88671875" style="18"/>
    <col min="14081" max="14081" width="0.33203125" style="18" customWidth="1"/>
    <col min="14082" max="14082" width="1" style="18" customWidth="1"/>
    <col min="14083" max="14083" width="4.88671875" style="18" customWidth="1"/>
    <col min="14084" max="14084" width="1" style="18" customWidth="1"/>
    <col min="14085" max="14085" width="12.33203125" style="18" customWidth="1"/>
    <col min="14086" max="14086" width="19.33203125" style="18" customWidth="1"/>
    <col min="14087" max="14087" width="4.44140625" style="18" customWidth="1"/>
    <col min="14088" max="14088" width="1" style="18" customWidth="1"/>
    <col min="14089" max="14089" width="3" style="18" customWidth="1"/>
    <col min="14090" max="14090" width="1" style="18" customWidth="1"/>
    <col min="14091" max="14091" width="4.88671875" style="18" customWidth="1"/>
    <col min="14092" max="14092" width="1" style="18" customWidth="1"/>
    <col min="14093" max="14093" width="12.33203125" style="18" customWidth="1"/>
    <col min="14094" max="14094" width="19.33203125" style="18" customWidth="1"/>
    <col min="14095" max="14095" width="5" style="18" customWidth="1"/>
    <col min="14096" max="14096" width="1" style="18" customWidth="1"/>
    <col min="14097" max="14097" width="3" style="18" customWidth="1"/>
    <col min="14098" max="14098" width="1" style="18" customWidth="1"/>
    <col min="14099" max="14099" width="4.88671875" style="18" customWidth="1"/>
    <col min="14100" max="14100" width="1" style="18" customWidth="1"/>
    <col min="14101" max="14101" width="12.33203125" style="18" customWidth="1"/>
    <col min="14102" max="14102" width="19.33203125" style="18" customWidth="1"/>
    <col min="14103" max="14103" width="4.44140625" style="18" customWidth="1"/>
    <col min="14104" max="14104" width="1" style="18" customWidth="1"/>
    <col min="14105" max="14105" width="8.88671875" style="18"/>
    <col min="14106" max="14111" width="0" style="18" hidden="1" customWidth="1"/>
    <col min="14112" max="14336" width="8.88671875" style="18"/>
    <col min="14337" max="14337" width="0.33203125" style="18" customWidth="1"/>
    <col min="14338" max="14338" width="1" style="18" customWidth="1"/>
    <col min="14339" max="14339" width="4.88671875" style="18" customWidth="1"/>
    <col min="14340" max="14340" width="1" style="18" customWidth="1"/>
    <col min="14341" max="14341" width="12.33203125" style="18" customWidth="1"/>
    <col min="14342" max="14342" width="19.33203125" style="18" customWidth="1"/>
    <col min="14343" max="14343" width="4.44140625" style="18" customWidth="1"/>
    <col min="14344" max="14344" width="1" style="18" customWidth="1"/>
    <col min="14345" max="14345" width="3" style="18" customWidth="1"/>
    <col min="14346" max="14346" width="1" style="18" customWidth="1"/>
    <col min="14347" max="14347" width="4.88671875" style="18" customWidth="1"/>
    <col min="14348" max="14348" width="1" style="18" customWidth="1"/>
    <col min="14349" max="14349" width="12.33203125" style="18" customWidth="1"/>
    <col min="14350" max="14350" width="19.33203125" style="18" customWidth="1"/>
    <col min="14351" max="14351" width="5" style="18" customWidth="1"/>
    <col min="14352" max="14352" width="1" style="18" customWidth="1"/>
    <col min="14353" max="14353" width="3" style="18" customWidth="1"/>
    <col min="14354" max="14354" width="1" style="18" customWidth="1"/>
    <col min="14355" max="14355" width="4.88671875" style="18" customWidth="1"/>
    <col min="14356" max="14356" width="1" style="18" customWidth="1"/>
    <col min="14357" max="14357" width="12.33203125" style="18" customWidth="1"/>
    <col min="14358" max="14358" width="19.33203125" style="18" customWidth="1"/>
    <col min="14359" max="14359" width="4.44140625" style="18" customWidth="1"/>
    <col min="14360" max="14360" width="1" style="18" customWidth="1"/>
    <col min="14361" max="14361" width="8.88671875" style="18"/>
    <col min="14362" max="14367" width="0" style="18" hidden="1" customWidth="1"/>
    <col min="14368" max="14592" width="8.88671875" style="18"/>
    <col min="14593" max="14593" width="0.33203125" style="18" customWidth="1"/>
    <col min="14594" max="14594" width="1" style="18" customWidth="1"/>
    <col min="14595" max="14595" width="4.88671875" style="18" customWidth="1"/>
    <col min="14596" max="14596" width="1" style="18" customWidth="1"/>
    <col min="14597" max="14597" width="12.33203125" style="18" customWidth="1"/>
    <col min="14598" max="14598" width="19.33203125" style="18" customWidth="1"/>
    <col min="14599" max="14599" width="4.44140625" style="18" customWidth="1"/>
    <col min="14600" max="14600" width="1" style="18" customWidth="1"/>
    <col min="14601" max="14601" width="3" style="18" customWidth="1"/>
    <col min="14602" max="14602" width="1" style="18" customWidth="1"/>
    <col min="14603" max="14603" width="4.88671875" style="18" customWidth="1"/>
    <col min="14604" max="14604" width="1" style="18" customWidth="1"/>
    <col min="14605" max="14605" width="12.33203125" style="18" customWidth="1"/>
    <col min="14606" max="14606" width="19.33203125" style="18" customWidth="1"/>
    <col min="14607" max="14607" width="5" style="18" customWidth="1"/>
    <col min="14608" max="14608" width="1" style="18" customWidth="1"/>
    <col min="14609" max="14609" width="3" style="18" customWidth="1"/>
    <col min="14610" max="14610" width="1" style="18" customWidth="1"/>
    <col min="14611" max="14611" width="4.88671875" style="18" customWidth="1"/>
    <col min="14612" max="14612" width="1" style="18" customWidth="1"/>
    <col min="14613" max="14613" width="12.33203125" style="18" customWidth="1"/>
    <col min="14614" max="14614" width="19.33203125" style="18" customWidth="1"/>
    <col min="14615" max="14615" width="4.44140625" style="18" customWidth="1"/>
    <col min="14616" max="14616" width="1" style="18" customWidth="1"/>
    <col min="14617" max="14617" width="8.88671875" style="18"/>
    <col min="14618" max="14623" width="0" style="18" hidden="1" customWidth="1"/>
    <col min="14624" max="14848" width="8.88671875" style="18"/>
    <col min="14849" max="14849" width="0.33203125" style="18" customWidth="1"/>
    <col min="14850" max="14850" width="1" style="18" customWidth="1"/>
    <col min="14851" max="14851" width="4.88671875" style="18" customWidth="1"/>
    <col min="14852" max="14852" width="1" style="18" customWidth="1"/>
    <col min="14853" max="14853" width="12.33203125" style="18" customWidth="1"/>
    <col min="14854" max="14854" width="19.33203125" style="18" customWidth="1"/>
    <col min="14855" max="14855" width="4.44140625" style="18" customWidth="1"/>
    <col min="14856" max="14856" width="1" style="18" customWidth="1"/>
    <col min="14857" max="14857" width="3" style="18" customWidth="1"/>
    <col min="14858" max="14858" width="1" style="18" customWidth="1"/>
    <col min="14859" max="14859" width="4.88671875" style="18" customWidth="1"/>
    <col min="14860" max="14860" width="1" style="18" customWidth="1"/>
    <col min="14861" max="14861" width="12.33203125" style="18" customWidth="1"/>
    <col min="14862" max="14862" width="19.33203125" style="18" customWidth="1"/>
    <col min="14863" max="14863" width="5" style="18" customWidth="1"/>
    <col min="14864" max="14864" width="1" style="18" customWidth="1"/>
    <col min="14865" max="14865" width="3" style="18" customWidth="1"/>
    <col min="14866" max="14866" width="1" style="18" customWidth="1"/>
    <col min="14867" max="14867" width="4.88671875" style="18" customWidth="1"/>
    <col min="14868" max="14868" width="1" style="18" customWidth="1"/>
    <col min="14869" max="14869" width="12.33203125" style="18" customWidth="1"/>
    <col min="14870" max="14870" width="19.33203125" style="18" customWidth="1"/>
    <col min="14871" max="14871" width="4.44140625" style="18" customWidth="1"/>
    <col min="14872" max="14872" width="1" style="18" customWidth="1"/>
    <col min="14873" max="14873" width="8.88671875" style="18"/>
    <col min="14874" max="14879" width="0" style="18" hidden="1" customWidth="1"/>
    <col min="14880" max="15104" width="8.88671875" style="18"/>
    <col min="15105" max="15105" width="0.33203125" style="18" customWidth="1"/>
    <col min="15106" max="15106" width="1" style="18" customWidth="1"/>
    <col min="15107" max="15107" width="4.88671875" style="18" customWidth="1"/>
    <col min="15108" max="15108" width="1" style="18" customWidth="1"/>
    <col min="15109" max="15109" width="12.33203125" style="18" customWidth="1"/>
    <col min="15110" max="15110" width="19.33203125" style="18" customWidth="1"/>
    <col min="15111" max="15111" width="4.44140625" style="18" customWidth="1"/>
    <col min="15112" max="15112" width="1" style="18" customWidth="1"/>
    <col min="15113" max="15113" width="3" style="18" customWidth="1"/>
    <col min="15114" max="15114" width="1" style="18" customWidth="1"/>
    <col min="15115" max="15115" width="4.88671875" style="18" customWidth="1"/>
    <col min="15116" max="15116" width="1" style="18" customWidth="1"/>
    <col min="15117" max="15117" width="12.33203125" style="18" customWidth="1"/>
    <col min="15118" max="15118" width="19.33203125" style="18" customWidth="1"/>
    <col min="15119" max="15119" width="5" style="18" customWidth="1"/>
    <col min="15120" max="15120" width="1" style="18" customWidth="1"/>
    <col min="15121" max="15121" width="3" style="18" customWidth="1"/>
    <col min="15122" max="15122" width="1" style="18" customWidth="1"/>
    <col min="15123" max="15123" width="4.88671875" style="18" customWidth="1"/>
    <col min="15124" max="15124" width="1" style="18" customWidth="1"/>
    <col min="15125" max="15125" width="12.33203125" style="18" customWidth="1"/>
    <col min="15126" max="15126" width="19.33203125" style="18" customWidth="1"/>
    <col min="15127" max="15127" width="4.44140625" style="18" customWidth="1"/>
    <col min="15128" max="15128" width="1" style="18" customWidth="1"/>
    <col min="15129" max="15129" width="8.88671875" style="18"/>
    <col min="15130" max="15135" width="0" style="18" hidden="1" customWidth="1"/>
    <col min="15136" max="15360" width="8.88671875" style="18"/>
    <col min="15361" max="15361" width="0.33203125" style="18" customWidth="1"/>
    <col min="15362" max="15362" width="1" style="18" customWidth="1"/>
    <col min="15363" max="15363" width="4.88671875" style="18" customWidth="1"/>
    <col min="15364" max="15364" width="1" style="18" customWidth="1"/>
    <col min="15365" max="15365" width="12.33203125" style="18" customWidth="1"/>
    <col min="15366" max="15366" width="19.33203125" style="18" customWidth="1"/>
    <col min="15367" max="15367" width="4.44140625" style="18" customWidth="1"/>
    <col min="15368" max="15368" width="1" style="18" customWidth="1"/>
    <col min="15369" max="15369" width="3" style="18" customWidth="1"/>
    <col min="15370" max="15370" width="1" style="18" customWidth="1"/>
    <col min="15371" max="15371" width="4.88671875" style="18" customWidth="1"/>
    <col min="15372" max="15372" width="1" style="18" customWidth="1"/>
    <col min="15373" max="15373" width="12.33203125" style="18" customWidth="1"/>
    <col min="15374" max="15374" width="19.33203125" style="18" customWidth="1"/>
    <col min="15375" max="15375" width="5" style="18" customWidth="1"/>
    <col min="15376" max="15376" width="1" style="18" customWidth="1"/>
    <col min="15377" max="15377" width="3" style="18" customWidth="1"/>
    <col min="15378" max="15378" width="1" style="18" customWidth="1"/>
    <col min="15379" max="15379" width="4.88671875" style="18" customWidth="1"/>
    <col min="15380" max="15380" width="1" style="18" customWidth="1"/>
    <col min="15381" max="15381" width="12.33203125" style="18" customWidth="1"/>
    <col min="15382" max="15382" width="19.33203125" style="18" customWidth="1"/>
    <col min="15383" max="15383" width="4.44140625" style="18" customWidth="1"/>
    <col min="15384" max="15384" width="1" style="18" customWidth="1"/>
    <col min="15385" max="15385" width="8.88671875" style="18"/>
    <col min="15386" max="15391" width="0" style="18" hidden="1" customWidth="1"/>
    <col min="15392" max="15616" width="8.88671875" style="18"/>
    <col min="15617" max="15617" width="0.33203125" style="18" customWidth="1"/>
    <col min="15618" max="15618" width="1" style="18" customWidth="1"/>
    <col min="15619" max="15619" width="4.88671875" style="18" customWidth="1"/>
    <col min="15620" max="15620" width="1" style="18" customWidth="1"/>
    <col min="15621" max="15621" width="12.33203125" style="18" customWidth="1"/>
    <col min="15622" max="15622" width="19.33203125" style="18" customWidth="1"/>
    <col min="15623" max="15623" width="4.44140625" style="18" customWidth="1"/>
    <col min="15624" max="15624" width="1" style="18" customWidth="1"/>
    <col min="15625" max="15625" width="3" style="18" customWidth="1"/>
    <col min="15626" max="15626" width="1" style="18" customWidth="1"/>
    <col min="15627" max="15627" width="4.88671875" style="18" customWidth="1"/>
    <col min="15628" max="15628" width="1" style="18" customWidth="1"/>
    <col min="15629" max="15629" width="12.33203125" style="18" customWidth="1"/>
    <col min="15630" max="15630" width="19.33203125" style="18" customWidth="1"/>
    <col min="15631" max="15631" width="5" style="18" customWidth="1"/>
    <col min="15632" max="15632" width="1" style="18" customWidth="1"/>
    <col min="15633" max="15633" width="3" style="18" customWidth="1"/>
    <col min="15634" max="15634" width="1" style="18" customWidth="1"/>
    <col min="15635" max="15635" width="4.88671875" style="18" customWidth="1"/>
    <col min="15636" max="15636" width="1" style="18" customWidth="1"/>
    <col min="15637" max="15637" width="12.33203125" style="18" customWidth="1"/>
    <col min="15638" max="15638" width="19.33203125" style="18" customWidth="1"/>
    <col min="15639" max="15639" width="4.44140625" style="18" customWidth="1"/>
    <col min="15640" max="15640" width="1" style="18" customWidth="1"/>
    <col min="15641" max="15641" width="8.88671875" style="18"/>
    <col min="15642" max="15647" width="0" style="18" hidden="1" customWidth="1"/>
    <col min="15648" max="15872" width="8.88671875" style="18"/>
    <col min="15873" max="15873" width="0.33203125" style="18" customWidth="1"/>
    <col min="15874" max="15874" width="1" style="18" customWidth="1"/>
    <col min="15875" max="15875" width="4.88671875" style="18" customWidth="1"/>
    <col min="15876" max="15876" width="1" style="18" customWidth="1"/>
    <col min="15877" max="15877" width="12.33203125" style="18" customWidth="1"/>
    <col min="15878" max="15878" width="19.33203125" style="18" customWidth="1"/>
    <col min="15879" max="15879" width="4.44140625" style="18" customWidth="1"/>
    <col min="15880" max="15880" width="1" style="18" customWidth="1"/>
    <col min="15881" max="15881" width="3" style="18" customWidth="1"/>
    <col min="15882" max="15882" width="1" style="18" customWidth="1"/>
    <col min="15883" max="15883" width="4.88671875" style="18" customWidth="1"/>
    <col min="15884" max="15884" width="1" style="18" customWidth="1"/>
    <col min="15885" max="15885" width="12.33203125" style="18" customWidth="1"/>
    <col min="15886" max="15886" width="19.33203125" style="18" customWidth="1"/>
    <col min="15887" max="15887" width="5" style="18" customWidth="1"/>
    <col min="15888" max="15888" width="1" style="18" customWidth="1"/>
    <col min="15889" max="15889" width="3" style="18" customWidth="1"/>
    <col min="15890" max="15890" width="1" style="18" customWidth="1"/>
    <col min="15891" max="15891" width="4.88671875" style="18" customWidth="1"/>
    <col min="15892" max="15892" width="1" style="18" customWidth="1"/>
    <col min="15893" max="15893" width="12.33203125" style="18" customWidth="1"/>
    <col min="15894" max="15894" width="19.33203125" style="18" customWidth="1"/>
    <col min="15895" max="15895" width="4.44140625" style="18" customWidth="1"/>
    <col min="15896" max="15896" width="1" style="18" customWidth="1"/>
    <col min="15897" max="15897" width="8.88671875" style="18"/>
    <col min="15898" max="15903" width="0" style="18" hidden="1" customWidth="1"/>
    <col min="15904" max="16128" width="8.88671875" style="18"/>
    <col min="16129" max="16129" width="0.33203125" style="18" customWidth="1"/>
    <col min="16130" max="16130" width="1" style="18" customWidth="1"/>
    <col min="16131" max="16131" width="4.88671875" style="18" customWidth="1"/>
    <col min="16132" max="16132" width="1" style="18" customWidth="1"/>
    <col min="16133" max="16133" width="12.33203125" style="18" customWidth="1"/>
    <col min="16134" max="16134" width="19.33203125" style="18" customWidth="1"/>
    <col min="16135" max="16135" width="4.44140625" style="18" customWidth="1"/>
    <col min="16136" max="16136" width="1" style="18" customWidth="1"/>
    <col min="16137" max="16137" width="3" style="18" customWidth="1"/>
    <col min="16138" max="16138" width="1" style="18" customWidth="1"/>
    <col min="16139" max="16139" width="4.88671875" style="18" customWidth="1"/>
    <col min="16140" max="16140" width="1" style="18" customWidth="1"/>
    <col min="16141" max="16141" width="12.33203125" style="18" customWidth="1"/>
    <col min="16142" max="16142" width="19.33203125" style="18" customWidth="1"/>
    <col min="16143" max="16143" width="5" style="18" customWidth="1"/>
    <col min="16144" max="16144" width="1" style="18" customWidth="1"/>
    <col min="16145" max="16145" width="3" style="18" customWidth="1"/>
    <col min="16146" max="16146" width="1" style="18" customWidth="1"/>
    <col min="16147" max="16147" width="4.88671875" style="18" customWidth="1"/>
    <col min="16148" max="16148" width="1" style="18" customWidth="1"/>
    <col min="16149" max="16149" width="12.33203125" style="18" customWidth="1"/>
    <col min="16150" max="16150" width="19.33203125" style="18" customWidth="1"/>
    <col min="16151" max="16151" width="4.44140625" style="18" customWidth="1"/>
    <col min="16152" max="16152" width="1" style="18" customWidth="1"/>
    <col min="16153" max="16153" width="8.88671875" style="18"/>
    <col min="16154" max="16159" width="0" style="18" hidden="1" customWidth="1"/>
    <col min="16160" max="16384" width="8.88671875" style="18"/>
  </cols>
  <sheetData>
    <row r="1" spans="2:31" ht="25.8" x14ac:dyDescent="0.3">
      <c r="B1" s="336" t="str">
        <f>CTRL!B7</f>
        <v>R E G I O N E M   O R L I C K A   L A N Š K R O U N   2 0 1 5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</row>
    <row r="2" spans="2:31" ht="15.6" x14ac:dyDescent="0.3">
      <c r="B2" s="337" t="str">
        <f>CTRL!B8</f>
        <v>29. ročník mezinárodního cyklistického závodu juniorů / 29th edition of international cycling race of juniors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AE2" s="78" t="s">
        <v>135</v>
      </c>
    </row>
    <row r="3" spans="2:31" x14ac:dyDescent="0.3">
      <c r="B3" s="3"/>
      <c r="C3" s="30"/>
      <c r="D3" s="36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18"/>
      <c r="U3" s="18"/>
      <c r="V3" s="18"/>
      <c r="W3" s="59" t="str">
        <f xml:space="preserve"> "Com.no.: 3/" &amp; CTRL!B27</f>
        <v>Com.no.: 3/33</v>
      </c>
      <c r="X3" s="59"/>
    </row>
    <row r="4" spans="2:31" x14ac:dyDescent="0.3">
      <c r="B4" s="60"/>
      <c r="C4" s="81" t="str">
        <f>"Datum / Date: "&amp;TEXT(DATUM1,"dd.mm.rrrr")</f>
        <v>Datum / Date: 07.08.2015</v>
      </c>
      <c r="D4" s="81"/>
      <c r="E4" s="81"/>
      <c r="F4" s="81"/>
      <c r="G4" s="3"/>
      <c r="H4" s="3"/>
      <c r="I4" s="3"/>
      <c r="J4" s="3"/>
      <c r="K4" s="3"/>
      <c r="M4" s="18"/>
      <c r="N4" s="18"/>
      <c r="O4" s="18"/>
      <c r="P4" s="18"/>
      <c r="Q4" s="18"/>
      <c r="R4" s="18"/>
      <c r="S4" s="18"/>
      <c r="T4" s="18"/>
      <c r="U4" s="18"/>
      <c r="V4" s="18"/>
      <c r="W4" s="62" t="str">
        <f>"Místo konání / Place: "&amp;MISTO&amp;""</f>
        <v>Místo konání / Place: Lanškroun (CZE)</v>
      </c>
      <c r="X4" s="62"/>
      <c r="AE4" s="78" t="s">
        <v>137</v>
      </c>
    </row>
    <row r="5" spans="2:31" ht="21.6" thickBot="1" x14ac:dyDescent="0.35">
      <c r="B5" s="343" t="str">
        <f>SLIST</f>
        <v>Startovní listina / Start list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</row>
    <row r="6" spans="2:31" ht="9" customHeight="1" x14ac:dyDescent="0.3">
      <c r="B6" s="3"/>
      <c r="C6" s="3"/>
      <c r="D6" s="36"/>
      <c r="E6" s="3"/>
      <c r="F6" s="3"/>
      <c r="G6" s="3"/>
      <c r="H6" s="3"/>
      <c r="I6" s="3"/>
      <c r="J6" s="3"/>
      <c r="K6" s="3"/>
      <c r="L6" s="3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AA6" s="82" t="s">
        <v>128</v>
      </c>
      <c r="AB6" s="82" t="s">
        <v>129</v>
      </c>
      <c r="AC6" s="82" t="s">
        <v>130</v>
      </c>
      <c r="AD6" s="82" t="s">
        <v>131</v>
      </c>
      <c r="AE6" s="82"/>
    </row>
    <row r="7" spans="2:31" ht="3.9" customHeight="1" x14ac:dyDescent="0.3">
      <c r="B7" s="83"/>
      <c r="C7" s="84"/>
      <c r="D7" s="85"/>
      <c r="E7" s="86"/>
      <c r="F7" s="85"/>
      <c r="G7" s="85"/>
      <c r="H7" s="87"/>
      <c r="J7" s="83"/>
      <c r="K7" s="84"/>
      <c r="L7" s="85"/>
      <c r="M7" s="86"/>
      <c r="N7" s="85"/>
      <c r="O7" s="85"/>
      <c r="P7" s="87"/>
      <c r="R7" s="83"/>
      <c r="S7" s="84"/>
      <c r="T7" s="85"/>
      <c r="U7" s="86"/>
      <c r="V7" s="85"/>
      <c r="W7" s="85"/>
      <c r="X7" s="87"/>
      <c r="AA7" s="82"/>
      <c r="AB7" s="82"/>
      <c r="AC7" s="82"/>
      <c r="AD7" s="82"/>
      <c r="AE7" s="82"/>
    </row>
    <row r="8" spans="2:31" s="93" customFormat="1" x14ac:dyDescent="0.3">
      <c r="B8" s="88"/>
      <c r="C8" s="89" t="s">
        <v>210</v>
      </c>
      <c r="D8" s="89"/>
      <c r="E8" s="90" t="str">
        <f>VLOOKUP(C8,$AA$8:$AB$25,2,0)</f>
        <v>RSC COTTBUS</v>
      </c>
      <c r="F8" s="91"/>
      <c r="G8" s="89" t="str">
        <f>VLOOKUP(C8,$AA:$AC,3,0)</f>
        <v>GER</v>
      </c>
      <c r="H8" s="92"/>
      <c r="I8" s="71"/>
      <c r="J8" s="88"/>
      <c r="K8" s="89" t="s">
        <v>501</v>
      </c>
      <c r="L8" s="89"/>
      <c r="M8" s="90" t="str">
        <f>VLOOKUP(K8,$AA$8:$AB$25,2,0)</f>
        <v>THÜRINGER RADSPORT VERBAND</v>
      </c>
      <c r="N8" s="91"/>
      <c r="O8" s="89" t="str">
        <f>VLOOKUP(K8,$AA:$AC,3,0)</f>
        <v>GER</v>
      </c>
      <c r="P8" s="92"/>
      <c r="Q8" s="71"/>
      <c r="R8" s="88"/>
      <c r="S8" s="89" t="s">
        <v>245</v>
      </c>
      <c r="T8" s="89"/>
      <c r="U8" s="90" t="str">
        <f>VLOOKUP(S8,$AA$8:$AB$25,2,0)</f>
        <v xml:space="preserve">MAPEI MERIDA KAŇKOVSKÝ </v>
      </c>
      <c r="V8" s="91"/>
      <c r="W8" s="89" t="str">
        <f>VLOOKUP(S8,$AA:$AC,3,0)</f>
        <v>CZE</v>
      </c>
      <c r="X8" s="92"/>
      <c r="Z8" s="82"/>
      <c r="AA8" s="49" t="s">
        <v>210</v>
      </c>
      <c r="AB8" s="67" t="s">
        <v>208</v>
      </c>
      <c r="AC8" s="82" t="s">
        <v>133</v>
      </c>
      <c r="AD8" s="82" t="s">
        <v>210</v>
      </c>
      <c r="AE8" s="78"/>
    </row>
    <row r="9" spans="2:31" s="100" customFormat="1" ht="12.9" customHeight="1" x14ac:dyDescent="0.3">
      <c r="B9" s="94"/>
      <c r="C9" s="95"/>
      <c r="D9" s="96"/>
      <c r="E9" s="97"/>
      <c r="F9" s="98"/>
      <c r="G9" s="98"/>
      <c r="H9" s="99"/>
      <c r="J9" s="94"/>
      <c r="K9" s="101"/>
      <c r="L9" s="102"/>
      <c r="M9" s="103"/>
      <c r="N9" s="104"/>
      <c r="O9" s="105"/>
      <c r="P9" s="99"/>
      <c r="R9" s="94"/>
      <c r="S9" s="101"/>
      <c r="T9" s="102"/>
      <c r="U9" s="103"/>
      <c r="V9" s="104"/>
      <c r="W9" s="105"/>
      <c r="X9" s="99"/>
      <c r="Z9" s="106"/>
      <c r="AA9" s="49" t="s">
        <v>571</v>
      </c>
      <c r="AB9" s="67" t="s">
        <v>618</v>
      </c>
      <c r="AC9" s="82" t="s">
        <v>132</v>
      </c>
      <c r="AD9" s="82" t="s">
        <v>571</v>
      </c>
      <c r="AE9" s="78"/>
    </row>
    <row r="10" spans="2:31" s="71" customFormat="1" x14ac:dyDescent="0.3">
      <c r="B10" s="107"/>
      <c r="C10" s="108">
        <v>1</v>
      </c>
      <c r="D10" s="47"/>
      <c r="E10" s="47" t="str">
        <f t="shared" ref="E10:E13" si="0">VLOOKUP(C10,STARTOVKA,2,0)</f>
        <v>*GER19981124</v>
      </c>
      <c r="F10" s="53" t="str">
        <f t="shared" ref="F10:F13" si="1">VLOOKUP(C10,STARTOVKA,3,0)</f>
        <v>AMBROSIUS Carlos</v>
      </c>
      <c r="G10" s="47"/>
      <c r="H10" s="109"/>
      <c r="J10" s="107"/>
      <c r="K10" s="108">
        <v>11</v>
      </c>
      <c r="L10" s="47"/>
      <c r="M10" s="47" t="str">
        <f t="shared" ref="M10:M11" si="2">VLOOKUP(K10,STARTOVKA,2,0)</f>
        <v>GER19970217</v>
      </c>
      <c r="N10" s="53" t="str">
        <f t="shared" ref="N10:N11" si="3">VLOOKUP(K10,STARTOVKA,3,0)</f>
        <v>SCHMIEDEL Sebastian</v>
      </c>
      <c r="O10" s="47"/>
      <c r="P10" s="109"/>
      <c r="R10" s="107"/>
      <c r="S10" s="108">
        <v>21</v>
      </c>
      <c r="T10" s="47"/>
      <c r="U10" s="47" t="str">
        <f t="shared" ref="U10:U12" si="4">VLOOKUP(S10,STARTOVKA,2,0)</f>
        <v>CZE19971022</v>
      </c>
      <c r="V10" s="53" t="str">
        <f t="shared" ref="V10:V12" si="5">VLOOKUP(S10,STARTOVKA,3,0)</f>
        <v xml:space="preserve">KLEVETA Jakub </v>
      </c>
      <c r="W10" s="47"/>
      <c r="X10" s="109"/>
      <c r="Z10" s="82"/>
      <c r="AA10" s="49" t="s">
        <v>38</v>
      </c>
      <c r="AB10" s="67" t="s">
        <v>638</v>
      </c>
      <c r="AC10" s="82" t="s">
        <v>132</v>
      </c>
      <c r="AD10" s="82" t="s">
        <v>38</v>
      </c>
      <c r="AE10" s="78"/>
    </row>
    <row r="11" spans="2:31" s="71" customFormat="1" x14ac:dyDescent="0.3">
      <c r="B11" s="107"/>
      <c r="C11" s="108">
        <v>2</v>
      </c>
      <c r="D11" s="47"/>
      <c r="E11" s="47" t="str">
        <f t="shared" si="0"/>
        <v>GER19970122</v>
      </c>
      <c r="F11" s="53" t="str">
        <f t="shared" si="1"/>
        <v>BERAN Andy</v>
      </c>
      <c r="G11" s="47"/>
      <c r="H11" s="109"/>
      <c r="J11" s="107"/>
      <c r="K11" s="108">
        <v>12</v>
      </c>
      <c r="L11" s="47"/>
      <c r="M11" s="47" t="str">
        <f t="shared" si="2"/>
        <v>GER19970725</v>
      </c>
      <c r="N11" s="53" t="str">
        <f t="shared" si="3"/>
        <v>MAGDEBURG Tobias</v>
      </c>
      <c r="O11" s="47"/>
      <c r="P11" s="109"/>
      <c r="R11" s="107"/>
      <c r="S11" s="108">
        <v>22</v>
      </c>
      <c r="T11" s="47"/>
      <c r="U11" s="47" t="str">
        <f t="shared" si="4"/>
        <v>CZE19970821</v>
      </c>
      <c r="V11" s="53" t="str">
        <f t="shared" si="5"/>
        <v xml:space="preserve">LAŠTŮVKA David </v>
      </c>
      <c r="W11" s="47"/>
      <c r="X11" s="109"/>
      <c r="Z11" s="82"/>
      <c r="AA11" s="49" t="s">
        <v>133</v>
      </c>
      <c r="AB11" s="67" t="s">
        <v>134</v>
      </c>
      <c r="AC11" s="82" t="s">
        <v>133</v>
      </c>
      <c r="AD11" s="82" t="s">
        <v>133</v>
      </c>
      <c r="AE11" s="78"/>
    </row>
    <row r="12" spans="2:31" s="71" customFormat="1" x14ac:dyDescent="0.3">
      <c r="B12" s="107"/>
      <c r="C12" s="108">
        <v>3</v>
      </c>
      <c r="D12" s="47"/>
      <c r="E12" s="47" t="str">
        <f t="shared" si="0"/>
        <v>*GER19980825</v>
      </c>
      <c r="F12" s="53" t="str">
        <f t="shared" si="1"/>
        <v>CARMESIN Johannes</v>
      </c>
      <c r="G12" s="47"/>
      <c r="H12" s="109"/>
      <c r="J12" s="107"/>
      <c r="K12" s="108">
        <v>13</v>
      </c>
      <c r="L12" s="47"/>
      <c r="M12" s="47" t="str">
        <f t="shared" ref="M12:M19" si="6">VLOOKUP(K12,STARTOVKA,2,0)</f>
        <v>GER19970811</v>
      </c>
      <c r="N12" s="53" t="str">
        <f t="shared" ref="N12:N19" si="7">VLOOKUP(K12,STARTOVKA,3,0)</f>
        <v>LINTZEL Philip</v>
      </c>
      <c r="O12" s="47"/>
      <c r="P12" s="109"/>
      <c r="R12" s="107"/>
      <c r="S12" s="108">
        <v>23</v>
      </c>
      <c r="T12" s="47"/>
      <c r="U12" s="47" t="str">
        <f t="shared" si="4"/>
        <v>CZE19990521*</v>
      </c>
      <c r="V12" s="53" t="str">
        <f t="shared" si="5"/>
        <v xml:space="preserve">CINK Jan </v>
      </c>
      <c r="W12" s="47"/>
      <c r="X12" s="109"/>
      <c r="Z12" s="82"/>
      <c r="AA12" s="49" t="s">
        <v>300</v>
      </c>
      <c r="AB12" s="67" t="s">
        <v>639</v>
      </c>
      <c r="AC12" s="82" t="s">
        <v>132</v>
      </c>
      <c r="AD12" s="82" t="s">
        <v>300</v>
      </c>
      <c r="AE12" s="78"/>
    </row>
    <row r="13" spans="2:31" s="71" customFormat="1" x14ac:dyDescent="0.3">
      <c r="B13" s="107"/>
      <c r="C13" s="108">
        <v>4</v>
      </c>
      <c r="D13" s="47"/>
      <c r="E13" s="47" t="str">
        <f t="shared" si="0"/>
        <v>*GER19981204</v>
      </c>
      <c r="F13" s="53" t="str">
        <f t="shared" si="1"/>
        <v>MÜLLER Tom</v>
      </c>
      <c r="G13" s="47"/>
      <c r="H13" s="109"/>
      <c r="J13" s="107"/>
      <c r="K13" s="108">
        <v>14</v>
      </c>
      <c r="L13" s="47"/>
      <c r="M13" s="47" t="str">
        <f t="shared" si="6"/>
        <v>*GER19980425</v>
      </c>
      <c r="N13" s="53" t="str">
        <f t="shared" si="7"/>
        <v>WITTMANN Hannes</v>
      </c>
      <c r="O13" s="47"/>
      <c r="P13" s="109"/>
      <c r="R13" s="107"/>
      <c r="S13" s="108">
        <v>24</v>
      </c>
      <c r="T13" s="47"/>
      <c r="U13" s="47" t="str">
        <f t="shared" ref="U13:U16" si="8">VLOOKUP(S13,STARTOVKA,2,0)</f>
        <v>CZE20001025*</v>
      </c>
      <c r="V13" s="53" t="str">
        <f t="shared" ref="V13:V16" si="9">VLOOKUP(S13,STARTOVKA,3,0)</f>
        <v xml:space="preserve">KLIMEK David </v>
      </c>
      <c r="W13" s="47"/>
      <c r="X13" s="109"/>
      <c r="Z13" s="82"/>
      <c r="AA13" s="49" t="s">
        <v>555</v>
      </c>
      <c r="AB13" s="67" t="s">
        <v>640</v>
      </c>
      <c r="AC13" s="82" t="s">
        <v>132</v>
      </c>
      <c r="AD13" s="82" t="s">
        <v>555</v>
      </c>
      <c r="AE13" s="78"/>
    </row>
    <row r="14" spans="2:31" s="71" customFormat="1" x14ac:dyDescent="0.3">
      <c r="B14" s="107"/>
      <c r="C14" s="108">
        <v>5</v>
      </c>
      <c r="D14" s="47"/>
      <c r="E14" s="47" t="str">
        <f t="shared" ref="E14:E17" si="10">VLOOKUP(C14,STARTOVKA,2,0)</f>
        <v>*GER19980601</v>
      </c>
      <c r="F14" s="53" t="str">
        <f t="shared" ref="F14:F17" si="11">VLOOKUP(C14,STARTOVKA,3,0)</f>
        <v>RUDYS Paul</v>
      </c>
      <c r="G14" s="47"/>
      <c r="H14" s="109"/>
      <c r="J14" s="107"/>
      <c r="K14" s="108">
        <v>15</v>
      </c>
      <c r="L14" s="47"/>
      <c r="M14" s="47" t="str">
        <f t="shared" si="6"/>
        <v>*GER19980410</v>
      </c>
      <c r="N14" s="53" t="str">
        <f t="shared" si="7"/>
        <v>DÖPEL Robin</v>
      </c>
      <c r="O14" s="47"/>
      <c r="P14" s="109"/>
      <c r="R14" s="107"/>
      <c r="S14" s="108">
        <v>25</v>
      </c>
      <c r="T14" s="47"/>
      <c r="U14" s="47" t="str">
        <f t="shared" si="8"/>
        <v>CZE20000911*</v>
      </c>
      <c r="V14" s="53" t="str">
        <f t="shared" si="9"/>
        <v xml:space="preserve">KMÍNEK Vojtěch </v>
      </c>
      <c r="W14" s="47"/>
      <c r="X14" s="109"/>
      <c r="Z14" s="82"/>
      <c r="AA14" s="49" t="s">
        <v>280</v>
      </c>
      <c r="AB14" s="67" t="s">
        <v>279</v>
      </c>
      <c r="AC14" s="106" t="s">
        <v>605</v>
      </c>
      <c r="AD14" s="106" t="s">
        <v>280</v>
      </c>
      <c r="AE14" s="78"/>
    </row>
    <row r="15" spans="2:31" s="71" customFormat="1" x14ac:dyDescent="0.3">
      <c r="B15" s="107"/>
      <c r="C15" s="108">
        <v>6</v>
      </c>
      <c r="D15" s="47"/>
      <c r="E15" s="47" t="str">
        <f t="shared" si="10"/>
        <v>*GER19980317</v>
      </c>
      <c r="F15" s="53" t="str">
        <f t="shared" si="11"/>
        <v>SCHNEIDER William</v>
      </c>
      <c r="G15" s="47"/>
      <c r="H15" s="109"/>
      <c r="J15" s="107"/>
      <c r="K15" s="108">
        <v>16</v>
      </c>
      <c r="L15" s="47"/>
      <c r="M15" s="47" t="str">
        <f t="shared" si="6"/>
        <v>*GER19980416</v>
      </c>
      <c r="N15" s="53" t="str">
        <f t="shared" si="7"/>
        <v>KÄßMANN Fabian</v>
      </c>
      <c r="O15" s="47"/>
      <c r="P15" s="109"/>
      <c r="R15" s="107"/>
      <c r="S15" s="108">
        <v>26</v>
      </c>
      <c r="T15" s="47"/>
      <c r="U15" s="47" t="str">
        <f t="shared" si="8"/>
        <v>*CZE19980923</v>
      </c>
      <c r="V15" s="53" t="str">
        <f t="shared" si="9"/>
        <v xml:space="preserve">KUČERA Michal </v>
      </c>
      <c r="W15" s="47"/>
      <c r="X15" s="109"/>
      <c r="Z15" s="82"/>
      <c r="AA15" s="49" t="s">
        <v>245</v>
      </c>
      <c r="AB15" s="67" t="s">
        <v>244</v>
      </c>
      <c r="AC15" s="82" t="s">
        <v>132</v>
      </c>
      <c r="AD15" s="82" t="s">
        <v>245</v>
      </c>
      <c r="AE15" s="78"/>
    </row>
    <row r="16" spans="2:31" s="71" customFormat="1" x14ac:dyDescent="0.3">
      <c r="B16" s="107"/>
      <c r="C16" s="108">
        <v>7</v>
      </c>
      <c r="D16" s="47"/>
      <c r="E16" s="47" t="str">
        <f t="shared" si="10"/>
        <v>*GER19980724</v>
      </c>
      <c r="F16" s="53" t="str">
        <f t="shared" si="11"/>
        <v>WEBER Philip</v>
      </c>
      <c r="G16" s="47"/>
      <c r="H16" s="109"/>
      <c r="J16" s="107"/>
      <c r="K16" s="108">
        <v>17</v>
      </c>
      <c r="L16" s="47"/>
      <c r="M16" s="47" t="str">
        <f t="shared" si="6"/>
        <v>GER19991107*</v>
      </c>
      <c r="N16" s="53" t="str">
        <f t="shared" si="7"/>
        <v>ASCHENBRENNER Michel</v>
      </c>
      <c r="O16" s="47"/>
      <c r="P16" s="109"/>
      <c r="R16" s="107"/>
      <c r="S16" s="108">
        <v>27</v>
      </c>
      <c r="T16" s="47"/>
      <c r="U16" s="47" t="str">
        <f t="shared" si="8"/>
        <v>CZE19970516</v>
      </c>
      <c r="V16" s="53" t="str">
        <f t="shared" si="9"/>
        <v xml:space="preserve">ŠORM Jiří </v>
      </c>
      <c r="W16" s="47"/>
      <c r="X16" s="109"/>
      <c r="Z16" s="82"/>
      <c r="AA16" s="49" t="s">
        <v>243</v>
      </c>
      <c r="AB16" s="67" t="s">
        <v>242</v>
      </c>
      <c r="AC16" s="82" t="s">
        <v>133</v>
      </c>
      <c r="AD16" s="82" t="s">
        <v>243</v>
      </c>
      <c r="AE16" s="78"/>
    </row>
    <row r="17" spans="2:34" s="71" customFormat="1" x14ac:dyDescent="0.3">
      <c r="B17" s="107"/>
      <c r="C17" s="108">
        <v>8</v>
      </c>
      <c r="D17" s="47"/>
      <c r="E17" s="47" t="str">
        <f t="shared" si="10"/>
        <v>GER19970701</v>
      </c>
      <c r="F17" s="53" t="str">
        <f t="shared" si="11"/>
        <v>ZETZSCHE Till</v>
      </c>
      <c r="G17" s="47"/>
      <c r="H17" s="109"/>
      <c r="J17" s="107"/>
      <c r="K17" s="108">
        <v>18</v>
      </c>
      <c r="L17" s="47"/>
      <c r="M17" s="47" t="str">
        <f t="shared" si="6"/>
        <v>GER19990507*</v>
      </c>
      <c r="N17" s="53" t="str">
        <f t="shared" si="7"/>
        <v>PAKALSKI Henrik</v>
      </c>
      <c r="O17" s="47"/>
      <c r="P17" s="109"/>
      <c r="R17" s="107"/>
      <c r="S17" s="108"/>
      <c r="T17" s="47"/>
      <c r="U17" s="47"/>
      <c r="V17" s="53"/>
      <c r="W17" s="47"/>
      <c r="X17" s="109"/>
      <c r="Z17" s="82"/>
      <c r="AA17" s="49" t="s">
        <v>218</v>
      </c>
      <c r="AB17" s="67" t="s">
        <v>637</v>
      </c>
      <c r="AC17" s="82" t="s">
        <v>605</v>
      </c>
      <c r="AD17" s="82" t="s">
        <v>218</v>
      </c>
      <c r="AE17" s="78"/>
    </row>
    <row r="18" spans="2:34" s="71" customFormat="1" x14ac:dyDescent="0.3">
      <c r="B18" s="107"/>
      <c r="C18" s="108"/>
      <c r="D18" s="47"/>
      <c r="E18" s="47"/>
      <c r="F18" s="53"/>
      <c r="G18" s="47"/>
      <c r="H18" s="109"/>
      <c r="J18" s="107"/>
      <c r="K18" s="108">
        <v>19</v>
      </c>
      <c r="L18" s="47"/>
      <c r="M18" s="47" t="str">
        <f t="shared" si="6"/>
        <v>GER19990212*</v>
      </c>
      <c r="N18" s="53" t="str">
        <f t="shared" si="7"/>
        <v>WELLENDORF Lukas</v>
      </c>
      <c r="O18" s="47"/>
      <c r="P18" s="109"/>
      <c r="R18" s="107"/>
      <c r="S18" s="108"/>
      <c r="T18" s="47"/>
      <c r="U18" s="47"/>
      <c r="V18" s="53"/>
      <c r="W18" s="47"/>
      <c r="X18" s="109"/>
      <c r="Z18" s="82"/>
      <c r="AA18" s="49" t="s">
        <v>232</v>
      </c>
      <c r="AB18" s="67" t="s">
        <v>231</v>
      </c>
      <c r="AC18" s="82" t="s">
        <v>133</v>
      </c>
      <c r="AD18" s="82" t="s">
        <v>232</v>
      </c>
      <c r="AE18" s="78"/>
    </row>
    <row r="19" spans="2:34" s="71" customFormat="1" x14ac:dyDescent="0.3">
      <c r="B19" s="107"/>
      <c r="C19" s="108"/>
      <c r="D19" s="47"/>
      <c r="E19" s="47"/>
      <c r="F19" s="53"/>
      <c r="G19" s="47"/>
      <c r="H19" s="109"/>
      <c r="J19" s="107"/>
      <c r="K19" s="108">
        <v>20</v>
      </c>
      <c r="L19" s="47"/>
      <c r="M19" s="47" t="str">
        <f t="shared" si="6"/>
        <v>GER19990514*</v>
      </c>
      <c r="N19" s="53" t="str">
        <f t="shared" si="7"/>
        <v>BANZER Johannes</v>
      </c>
      <c r="O19" s="47"/>
      <c r="P19" s="109"/>
      <c r="R19" s="107"/>
      <c r="S19" s="108"/>
      <c r="T19" s="47"/>
      <c r="U19" s="47"/>
      <c r="V19" s="53"/>
      <c r="W19" s="47"/>
      <c r="X19" s="109"/>
      <c r="Z19" s="82"/>
      <c r="AA19" s="49" t="s">
        <v>214</v>
      </c>
      <c r="AB19" s="67" t="s">
        <v>632</v>
      </c>
      <c r="AC19" s="82" t="s">
        <v>132</v>
      </c>
      <c r="AD19" s="82" t="s">
        <v>214</v>
      </c>
      <c r="AE19" s="78"/>
    </row>
    <row r="20" spans="2:34" s="71" customFormat="1" ht="3.9" customHeight="1" x14ac:dyDescent="0.3">
      <c r="B20" s="110"/>
      <c r="C20" s="111"/>
      <c r="D20" s="112"/>
      <c r="E20" s="112"/>
      <c r="F20" s="112"/>
      <c r="G20" s="112"/>
      <c r="H20" s="113"/>
      <c r="J20" s="110"/>
      <c r="K20" s="111"/>
      <c r="L20" s="112"/>
      <c r="M20" s="112"/>
      <c r="N20" s="112"/>
      <c r="O20" s="112"/>
      <c r="P20" s="113"/>
      <c r="R20" s="110"/>
      <c r="S20" s="111"/>
      <c r="T20" s="112"/>
      <c r="U20" s="112"/>
      <c r="V20" s="112"/>
      <c r="W20" s="112"/>
      <c r="X20" s="113"/>
      <c r="Z20" s="82"/>
      <c r="AA20" s="49" t="s">
        <v>576</v>
      </c>
      <c r="AB20" s="67" t="s">
        <v>625</v>
      </c>
      <c r="AC20" s="82" t="s">
        <v>39</v>
      </c>
      <c r="AD20" s="82" t="s">
        <v>576</v>
      </c>
      <c r="AE20" s="78"/>
    </row>
    <row r="21" spans="2:34" s="57" customFormat="1" ht="9" customHeight="1" x14ac:dyDescent="0.3">
      <c r="B21" s="114"/>
      <c r="C21" s="115"/>
      <c r="D21" s="114"/>
      <c r="E21" s="116"/>
      <c r="F21" s="114"/>
      <c r="G21" s="114"/>
      <c r="H21" s="114"/>
      <c r="J21" s="114"/>
      <c r="K21" s="115"/>
      <c r="L21" s="114"/>
      <c r="M21" s="116"/>
      <c r="N21" s="114"/>
      <c r="O21" s="114"/>
      <c r="P21" s="114"/>
      <c r="R21" s="114"/>
      <c r="S21" s="115"/>
      <c r="T21" s="114"/>
      <c r="U21" s="116"/>
      <c r="V21" s="114"/>
      <c r="W21" s="114"/>
      <c r="X21" s="114"/>
      <c r="Z21" s="82"/>
      <c r="AA21" s="49" t="s">
        <v>274</v>
      </c>
      <c r="AB21" s="67" t="s">
        <v>606</v>
      </c>
      <c r="AC21" s="82" t="s">
        <v>132</v>
      </c>
      <c r="AD21" s="82" t="s">
        <v>274</v>
      </c>
      <c r="AE21" s="78"/>
    </row>
    <row r="22" spans="2:34" ht="3.9" customHeight="1" x14ac:dyDescent="0.3">
      <c r="B22" s="83"/>
      <c r="C22" s="84"/>
      <c r="D22" s="85"/>
      <c r="E22" s="86"/>
      <c r="F22" s="85"/>
      <c r="G22" s="85"/>
      <c r="H22" s="87"/>
      <c r="J22" s="83"/>
      <c r="K22" s="84"/>
      <c r="L22" s="85"/>
      <c r="M22" s="86"/>
      <c r="N22" s="85"/>
      <c r="O22" s="85"/>
      <c r="P22" s="87"/>
      <c r="R22" s="83"/>
      <c r="S22" s="84"/>
      <c r="T22" s="85"/>
      <c r="U22" s="86"/>
      <c r="V22" s="85"/>
      <c r="W22" s="85"/>
      <c r="X22" s="87"/>
      <c r="Z22" s="82"/>
      <c r="AA22" s="49" t="s">
        <v>222</v>
      </c>
      <c r="AB22" s="67" t="s">
        <v>221</v>
      </c>
      <c r="AC22" s="82" t="s">
        <v>132</v>
      </c>
      <c r="AD22" s="82" t="s">
        <v>222</v>
      </c>
    </row>
    <row r="23" spans="2:34" s="93" customFormat="1" x14ac:dyDescent="0.3">
      <c r="B23" s="88"/>
      <c r="C23" s="89" t="s">
        <v>232</v>
      </c>
      <c r="D23" s="89"/>
      <c r="E23" s="90" t="str">
        <f>VLOOKUP(C23,$AA$8:$AB$25,2,0)</f>
        <v>JUNIOREN SCHWALBE TEAM SACHSEN</v>
      </c>
      <c r="F23" s="91"/>
      <c r="G23" s="89" t="str">
        <f>VLOOKUP(C23,$AA:$AC,3,0)</f>
        <v>GER</v>
      </c>
      <c r="H23" s="92"/>
      <c r="I23" s="71"/>
      <c r="J23" s="88"/>
      <c r="K23" s="89" t="s">
        <v>222</v>
      </c>
      <c r="L23" s="89"/>
      <c r="M23" s="90" t="str">
        <f>VLOOKUP(K23,$AA$8:$AB$26,2,0)</f>
        <v xml:space="preserve">SKC TUFO PROSTĚJOV </v>
      </c>
      <c r="N23" s="91"/>
      <c r="O23" s="89" t="str">
        <f>VLOOKUP(K23,$AA:$AC,3,0)</f>
        <v>CZE</v>
      </c>
      <c r="P23" s="92"/>
      <c r="Q23" s="71"/>
      <c r="R23" s="88"/>
      <c r="S23" s="89" t="s">
        <v>274</v>
      </c>
      <c r="T23" s="89"/>
      <c r="U23" s="90" t="str">
        <f>VLOOKUP(S23,$AA$8:$AB$25,2,0)</f>
        <v xml:space="preserve">MIX1 - ACK STARÁ VES </v>
      </c>
      <c r="V23" s="91"/>
      <c r="W23" s="89" t="str">
        <f>VLOOKUP(S23,$AA:$AC,3,0)</f>
        <v>CZE</v>
      </c>
      <c r="X23" s="92"/>
      <c r="Z23" s="82"/>
      <c r="AA23" s="49" t="s">
        <v>39</v>
      </c>
      <c r="AB23" s="67" t="s">
        <v>328</v>
      </c>
      <c r="AC23" s="82" t="s">
        <v>39</v>
      </c>
      <c r="AD23" s="82" t="s">
        <v>39</v>
      </c>
      <c r="AE23" s="78"/>
    </row>
    <row r="24" spans="2:34" s="100" customFormat="1" ht="12.9" customHeight="1" x14ac:dyDescent="0.3">
      <c r="B24" s="94"/>
      <c r="C24" s="95"/>
      <c r="D24" s="96"/>
      <c r="E24" s="97"/>
      <c r="F24" s="117"/>
      <c r="G24" s="117"/>
      <c r="H24" s="99"/>
      <c r="J24" s="94"/>
      <c r="K24" s="101"/>
      <c r="L24" s="102"/>
      <c r="M24" s="103"/>
      <c r="N24" s="105"/>
      <c r="O24" s="105"/>
      <c r="P24" s="99"/>
      <c r="R24" s="94"/>
      <c r="S24" s="101"/>
      <c r="T24" s="102"/>
      <c r="U24" s="103"/>
      <c r="V24" s="105"/>
      <c r="W24" s="105"/>
      <c r="X24" s="99"/>
      <c r="Z24" s="106"/>
      <c r="AA24" s="49" t="s">
        <v>501</v>
      </c>
      <c r="AB24" s="67" t="s">
        <v>499</v>
      </c>
      <c r="AC24" s="106" t="s">
        <v>133</v>
      </c>
      <c r="AD24" s="106" t="s">
        <v>501</v>
      </c>
      <c r="AE24" s="78"/>
    </row>
    <row r="25" spans="2:34" s="71" customFormat="1" x14ac:dyDescent="0.3">
      <c r="B25" s="107"/>
      <c r="C25" s="108">
        <v>31</v>
      </c>
      <c r="D25" s="47"/>
      <c r="E25" s="47" t="str">
        <f t="shared" ref="E25:E34" si="12">VLOOKUP(C25,STARTOVKA,2,0)</f>
        <v>GER19970806</v>
      </c>
      <c r="F25" s="53" t="str">
        <f t="shared" ref="F25:F34" si="13">VLOOKUP(C25,STARTOVKA,3,0)</f>
        <v>BINAY Noah</v>
      </c>
      <c r="G25" s="47"/>
      <c r="H25" s="109"/>
      <c r="J25" s="107"/>
      <c r="K25" s="108">
        <v>41</v>
      </c>
      <c r="L25" s="47"/>
      <c r="M25" s="47" t="str">
        <f t="shared" ref="M25:M30" si="14">VLOOKUP(K25,STARTOVKA,2,0)</f>
        <v>CZE19971201</v>
      </c>
      <c r="N25" s="53" t="str">
        <f t="shared" ref="N25:N30" si="15">VLOOKUP(K25,STARTOVKA,3,0)</f>
        <v xml:space="preserve">CHYTIL Daniel </v>
      </c>
      <c r="O25" s="47"/>
      <c r="P25" s="109"/>
      <c r="R25" s="107"/>
      <c r="S25" s="108">
        <v>51</v>
      </c>
      <c r="T25" s="47"/>
      <c r="U25" s="47" t="str">
        <f t="shared" ref="U25:U34" si="16">VLOOKUP(S25,STARTOVKA,2,0)</f>
        <v>*CZE19980914</v>
      </c>
      <c r="V25" s="53" t="str">
        <f t="shared" ref="V25:V34" si="17">VLOOKUP(S25,STARTOVKA,3,0)</f>
        <v>TRACHTULEC Petr</v>
      </c>
      <c r="W25" s="47"/>
      <c r="X25" s="109"/>
      <c r="Z25" s="82"/>
      <c r="AA25" s="49" t="s">
        <v>258</v>
      </c>
      <c r="AB25" s="67" t="s">
        <v>257</v>
      </c>
      <c r="AC25" s="82" t="s">
        <v>604</v>
      </c>
      <c r="AD25" s="82" t="s">
        <v>258</v>
      </c>
      <c r="AE25" s="78"/>
    </row>
    <row r="26" spans="2:34" s="71" customFormat="1" x14ac:dyDescent="0.3">
      <c r="B26" s="107"/>
      <c r="C26" s="108">
        <v>32</v>
      </c>
      <c r="D26" s="47"/>
      <c r="E26" s="47" t="str">
        <f t="shared" si="12"/>
        <v>*GER19980114</v>
      </c>
      <c r="F26" s="53" t="str">
        <f t="shared" si="13"/>
        <v>BONNES Julius</v>
      </c>
      <c r="G26" s="47"/>
      <c r="H26" s="109"/>
      <c r="J26" s="107"/>
      <c r="K26" s="108">
        <v>42</v>
      </c>
      <c r="L26" s="47"/>
      <c r="M26" s="47" t="str">
        <f t="shared" si="14"/>
        <v>CZE19990122*</v>
      </c>
      <c r="N26" s="53" t="str">
        <f t="shared" si="15"/>
        <v xml:space="preserve">KABRHEL Milan </v>
      </c>
      <c r="O26" s="47"/>
      <c r="P26" s="109"/>
      <c r="R26" s="107"/>
      <c r="S26" s="108">
        <v>52</v>
      </c>
      <c r="T26" s="47"/>
      <c r="U26" s="47" t="str">
        <f t="shared" si="16"/>
        <v>*CZE19980529</v>
      </c>
      <c r="V26" s="53" t="str">
        <f t="shared" si="17"/>
        <v>KREJČÍ Marian</v>
      </c>
      <c r="W26" s="47"/>
      <c r="X26" s="109"/>
      <c r="Z26" s="82"/>
      <c r="AA26" s="49"/>
      <c r="AB26" s="67"/>
      <c r="AC26" s="82"/>
      <c r="AD26" s="82"/>
      <c r="AE26" s="78"/>
      <c r="AH26"/>
    </row>
    <row r="27" spans="2:34" s="71" customFormat="1" x14ac:dyDescent="0.3">
      <c r="B27" s="107"/>
      <c r="C27" s="108">
        <v>33</v>
      </c>
      <c r="D27" s="47"/>
      <c r="E27" s="47" t="str">
        <f t="shared" si="12"/>
        <v>*GER19980912</v>
      </c>
      <c r="F27" s="53" t="str">
        <f t="shared" si="13"/>
        <v>CLAUSS Marc</v>
      </c>
      <c r="G27" s="47"/>
      <c r="H27" s="109"/>
      <c r="J27" s="107"/>
      <c r="K27" s="108">
        <v>43</v>
      </c>
      <c r="L27" s="47"/>
      <c r="M27" s="47" t="str">
        <f t="shared" si="14"/>
        <v>*CZE19981115</v>
      </c>
      <c r="N27" s="53" t="str">
        <f t="shared" si="15"/>
        <v xml:space="preserve">KOČAŘÍK Václav </v>
      </c>
      <c r="O27" s="47"/>
      <c r="P27" s="109"/>
      <c r="R27" s="107"/>
      <c r="S27" s="108">
        <v>53</v>
      </c>
      <c r="T27" s="47"/>
      <c r="U27" s="47" t="str">
        <f t="shared" si="16"/>
        <v>CZE20001009*</v>
      </c>
      <c r="V27" s="53" t="str">
        <f t="shared" si="17"/>
        <v>MIKŠANÍK Vladimír</v>
      </c>
      <c r="W27" s="47"/>
      <c r="X27" s="109"/>
      <c r="Z27" s="82"/>
      <c r="AA27" s="82"/>
      <c r="AC27" s="82"/>
      <c r="AD27" s="82"/>
      <c r="AE27" s="78"/>
      <c r="AH27"/>
    </row>
    <row r="28" spans="2:34" s="71" customFormat="1" x14ac:dyDescent="0.3">
      <c r="B28" s="107"/>
      <c r="C28" s="108">
        <v>34</v>
      </c>
      <c r="D28" s="47"/>
      <c r="E28" s="47" t="str">
        <f t="shared" si="12"/>
        <v>GER19970125</v>
      </c>
      <c r="F28" s="53" t="str">
        <f t="shared" si="13"/>
        <v>FRANZ Toni</v>
      </c>
      <c r="G28" s="47"/>
      <c r="H28" s="109"/>
      <c r="J28" s="107"/>
      <c r="K28" s="108">
        <v>44</v>
      </c>
      <c r="L28" s="47"/>
      <c r="M28" s="47" t="str">
        <f t="shared" si="14"/>
        <v>CZE19970417</v>
      </c>
      <c r="N28" s="53" t="str">
        <f t="shared" si="15"/>
        <v xml:space="preserve">KUBEŠ Martin </v>
      </c>
      <c r="O28" s="47"/>
      <c r="P28" s="109"/>
      <c r="R28" s="107"/>
      <c r="S28" s="108">
        <v>54</v>
      </c>
      <c r="T28" s="47"/>
      <c r="U28" s="47" t="str">
        <f t="shared" si="16"/>
        <v>*CZE19980726</v>
      </c>
      <c r="V28" s="53" t="str">
        <f t="shared" si="17"/>
        <v>POKORNÝ Petr</v>
      </c>
      <c r="W28" s="47"/>
      <c r="X28" s="109"/>
      <c r="Z28" s="82"/>
      <c r="AA28" s="82"/>
      <c r="AB28" s="82"/>
      <c r="AC28" s="82"/>
      <c r="AD28" s="82"/>
      <c r="AE28" s="78"/>
      <c r="AH28"/>
    </row>
    <row r="29" spans="2:34" s="71" customFormat="1" x14ac:dyDescent="0.3">
      <c r="B29" s="107"/>
      <c r="C29" s="108">
        <v>35</v>
      </c>
      <c r="D29" s="47"/>
      <c r="E29" s="47" t="str">
        <f t="shared" si="12"/>
        <v>GER19990531*</v>
      </c>
      <c r="F29" s="53" t="str">
        <f t="shared" si="13"/>
        <v>KAMLOT Tom</v>
      </c>
      <c r="G29" s="47"/>
      <c r="H29" s="109"/>
      <c r="J29" s="107"/>
      <c r="K29" s="108">
        <v>45</v>
      </c>
      <c r="L29" s="47"/>
      <c r="M29" s="47" t="str">
        <f t="shared" si="14"/>
        <v>CZE19971015</v>
      </c>
      <c r="N29" s="53" t="str">
        <f t="shared" si="15"/>
        <v xml:space="preserve">STRUPEK Matyáš </v>
      </c>
      <c r="O29" s="47"/>
      <c r="P29" s="109"/>
      <c r="R29" s="107"/>
      <c r="S29" s="108">
        <v>55</v>
      </c>
      <c r="T29" s="47"/>
      <c r="U29" s="47" t="str">
        <f t="shared" si="16"/>
        <v>CZE19971111</v>
      </c>
      <c r="V29" s="53" t="str">
        <f t="shared" si="17"/>
        <v>VÁVRA Marek</v>
      </c>
      <c r="W29" s="47"/>
      <c r="X29" s="109"/>
      <c r="Z29" s="82"/>
      <c r="AA29" s="82"/>
      <c r="AB29" s="82"/>
      <c r="AC29" s="82"/>
      <c r="AD29" s="82"/>
      <c r="AE29" s="78"/>
      <c r="AH29"/>
    </row>
    <row r="30" spans="2:34" s="71" customFormat="1" x14ac:dyDescent="0.3">
      <c r="B30" s="107"/>
      <c r="C30" s="108">
        <v>36</v>
      </c>
      <c r="D30" s="47"/>
      <c r="E30" s="47" t="str">
        <f t="shared" si="12"/>
        <v>GER19990128*</v>
      </c>
      <c r="F30" s="53" t="str">
        <f t="shared" si="13"/>
        <v>KLUGE Felix</v>
      </c>
      <c r="G30" s="47"/>
      <c r="H30" s="109"/>
      <c r="J30" s="107"/>
      <c r="K30" s="108">
        <v>46</v>
      </c>
      <c r="L30" s="47"/>
      <c r="M30" s="47" t="str">
        <f t="shared" si="14"/>
        <v>*CZE19980604</v>
      </c>
      <c r="N30" s="53" t="str">
        <f t="shared" si="15"/>
        <v xml:space="preserve">ŠMÍDA Martin </v>
      </c>
      <c r="O30" s="47"/>
      <c r="P30" s="109"/>
      <c r="R30" s="107"/>
      <c r="S30" s="108">
        <v>56</v>
      </c>
      <c r="T30" s="47"/>
      <c r="U30" s="47" t="str">
        <f t="shared" si="16"/>
        <v>POL19970322</v>
      </c>
      <c r="V30" s="53" t="str">
        <f t="shared" si="17"/>
        <v>FOLTYN Maciej</v>
      </c>
      <c r="W30" s="47"/>
      <c r="X30" s="109"/>
      <c r="Z30" s="82"/>
      <c r="AA30" s="82"/>
      <c r="AB30" s="82"/>
      <c r="AC30" s="82"/>
      <c r="AD30" s="82"/>
      <c r="AE30" s="78"/>
      <c r="AH30"/>
    </row>
    <row r="31" spans="2:34" s="71" customFormat="1" x14ac:dyDescent="0.3">
      <c r="B31" s="107"/>
      <c r="C31" s="108">
        <v>37</v>
      </c>
      <c r="D31" s="47"/>
      <c r="E31" s="47" t="str">
        <f t="shared" si="12"/>
        <v>*GER19981209</v>
      </c>
      <c r="F31" s="53" t="str">
        <f t="shared" si="13"/>
        <v>NOLDE Tobias</v>
      </c>
      <c r="G31" s="47"/>
      <c r="H31" s="109"/>
      <c r="J31" s="107"/>
      <c r="K31" s="108"/>
      <c r="L31" s="47"/>
      <c r="M31" s="47"/>
      <c r="N31" s="53"/>
      <c r="O31" s="47"/>
      <c r="P31" s="109"/>
      <c r="R31" s="107"/>
      <c r="S31" s="108">
        <v>57</v>
      </c>
      <c r="T31" s="47"/>
      <c r="U31" s="47" t="str">
        <f t="shared" si="16"/>
        <v>POL19970825</v>
      </c>
      <c r="V31" s="53" t="str">
        <f t="shared" si="17"/>
        <v xml:space="preserve">GRZEGORZYCA Dominik </v>
      </c>
      <c r="W31" s="47"/>
      <c r="X31" s="109"/>
      <c r="Z31" s="82"/>
      <c r="AA31" s="82"/>
      <c r="AB31" s="82"/>
      <c r="AC31" s="82"/>
      <c r="AD31" s="82"/>
      <c r="AE31" s="78"/>
      <c r="AH31"/>
    </row>
    <row r="32" spans="2:34" s="71" customFormat="1" x14ac:dyDescent="0.3">
      <c r="B32" s="107"/>
      <c r="C32" s="108">
        <v>38</v>
      </c>
      <c r="D32" s="47"/>
      <c r="E32" s="47" t="str">
        <f t="shared" si="12"/>
        <v>*GER19980430</v>
      </c>
      <c r="F32" s="53" t="str">
        <f t="shared" si="13"/>
        <v>SCHNEIDER Jonas</v>
      </c>
      <c r="G32" s="47"/>
      <c r="H32" s="109"/>
      <c r="J32" s="107"/>
      <c r="K32" s="108"/>
      <c r="L32" s="47"/>
      <c r="M32" s="47"/>
      <c r="N32" s="53"/>
      <c r="O32" s="47"/>
      <c r="P32" s="109"/>
      <c r="R32" s="107"/>
      <c r="S32" s="108">
        <v>58</v>
      </c>
      <c r="T32" s="47"/>
      <c r="U32" s="47" t="str">
        <f t="shared" si="16"/>
        <v>POL19990111*</v>
      </c>
      <c r="V32" s="53" t="str">
        <f t="shared" si="17"/>
        <v xml:space="preserve">MIGAS Dawid </v>
      </c>
      <c r="W32" s="47"/>
      <c r="X32" s="109"/>
      <c r="Z32" s="82"/>
      <c r="AA32" s="82"/>
      <c r="AB32" s="82"/>
      <c r="AC32" s="82"/>
      <c r="AD32" s="82"/>
      <c r="AE32" s="78"/>
      <c r="AH32"/>
    </row>
    <row r="33" spans="2:34" s="71" customFormat="1" x14ac:dyDescent="0.3">
      <c r="B33" s="107"/>
      <c r="C33" s="108">
        <v>39</v>
      </c>
      <c r="D33" s="47"/>
      <c r="E33" s="47" t="str">
        <f t="shared" si="12"/>
        <v>*GER19980906</v>
      </c>
      <c r="F33" s="53" t="str">
        <f t="shared" si="13"/>
        <v>ZSCHOCKE Maximilian</v>
      </c>
      <c r="G33" s="47"/>
      <c r="H33" s="109"/>
      <c r="J33" s="107"/>
      <c r="K33" s="108"/>
      <c r="L33" s="47"/>
      <c r="M33" s="47"/>
      <c r="N33" s="53"/>
      <c r="O33" s="47"/>
      <c r="P33" s="109"/>
      <c r="R33" s="107"/>
      <c r="S33" s="108">
        <v>59</v>
      </c>
      <c r="T33" s="47"/>
      <c r="U33" s="47" t="str">
        <f t="shared" si="16"/>
        <v>POL19971003</v>
      </c>
      <c r="V33" s="53" t="str">
        <f t="shared" si="17"/>
        <v>INDEKA Kamil</v>
      </c>
      <c r="W33" s="47"/>
      <c r="X33" s="109"/>
      <c r="Z33" s="82"/>
      <c r="AA33" s="82"/>
      <c r="AB33" s="82"/>
      <c r="AC33" s="82"/>
      <c r="AD33" s="82"/>
      <c r="AE33" s="78"/>
      <c r="AH33"/>
    </row>
    <row r="34" spans="2:34" s="71" customFormat="1" x14ac:dyDescent="0.3">
      <c r="B34" s="107"/>
      <c r="C34" s="108">
        <v>40</v>
      </c>
      <c r="D34" s="47"/>
      <c r="E34" s="47" t="str">
        <f t="shared" si="12"/>
        <v>GER19991106*</v>
      </c>
      <c r="F34" s="53" t="str">
        <f t="shared" si="13"/>
        <v>ZUGEHÖR Anton</v>
      </c>
      <c r="G34" s="47"/>
      <c r="H34" s="109"/>
      <c r="J34" s="107"/>
      <c r="K34" s="108"/>
      <c r="L34" s="47"/>
      <c r="M34" s="47"/>
      <c r="N34" s="53"/>
      <c r="O34" s="47"/>
      <c r="P34" s="109"/>
      <c r="R34" s="107"/>
      <c r="S34" s="108">
        <v>60</v>
      </c>
      <c r="T34" s="47"/>
      <c r="U34" s="47" t="str">
        <f t="shared" si="16"/>
        <v>*SVK19980115</v>
      </c>
      <c r="V34" s="53" t="str">
        <f t="shared" si="17"/>
        <v>BLAŠKOVIČ Richard</v>
      </c>
      <c r="W34" s="47"/>
      <c r="X34" s="109"/>
      <c r="Z34" s="82"/>
      <c r="AA34" s="82"/>
      <c r="AB34" s="82"/>
      <c r="AC34" s="82"/>
      <c r="AD34" s="82"/>
      <c r="AE34" s="78"/>
      <c r="AH34"/>
    </row>
    <row r="35" spans="2:34" s="71" customFormat="1" ht="3.9" customHeight="1" x14ac:dyDescent="0.3">
      <c r="B35" s="110"/>
      <c r="C35" s="111"/>
      <c r="D35" s="112"/>
      <c r="E35" s="112"/>
      <c r="F35" s="112"/>
      <c r="G35" s="112"/>
      <c r="H35" s="113"/>
      <c r="J35" s="110"/>
      <c r="K35" s="111"/>
      <c r="L35" s="112"/>
      <c r="M35" s="112"/>
      <c r="N35" s="112"/>
      <c r="O35" s="112"/>
      <c r="P35" s="113"/>
      <c r="R35" s="110"/>
      <c r="S35" s="111"/>
      <c r="T35" s="112"/>
      <c r="U35" s="112"/>
      <c r="V35" s="112"/>
      <c r="W35" s="112"/>
      <c r="X35" s="113"/>
      <c r="Z35" s="82"/>
      <c r="AA35" s="82"/>
      <c r="AB35" s="82"/>
      <c r="AC35" s="82"/>
      <c r="AD35" s="82"/>
      <c r="AE35" s="78"/>
      <c r="AH35"/>
    </row>
    <row r="36" spans="2:34" s="57" customFormat="1" ht="9" customHeight="1" x14ac:dyDescent="0.3">
      <c r="B36" s="114"/>
      <c r="C36" s="115"/>
      <c r="D36" s="114"/>
      <c r="E36" s="116"/>
      <c r="F36" s="114"/>
      <c r="G36" s="114"/>
      <c r="H36" s="114"/>
      <c r="J36" s="114"/>
      <c r="K36" s="115"/>
      <c r="L36" s="114"/>
      <c r="M36" s="116"/>
      <c r="N36" s="114"/>
      <c r="O36" s="114"/>
      <c r="P36" s="114"/>
      <c r="R36" s="114"/>
      <c r="S36" s="115"/>
      <c r="T36" s="114"/>
      <c r="U36" s="116"/>
      <c r="V36" s="114"/>
      <c r="W36" s="114"/>
      <c r="X36" s="114"/>
      <c r="Z36" s="82"/>
      <c r="AA36" s="82"/>
      <c r="AB36" s="82"/>
      <c r="AC36" s="82"/>
      <c r="AD36" s="82"/>
      <c r="AE36" s="78"/>
      <c r="AH36"/>
    </row>
    <row r="37" spans="2:34" ht="3.9" customHeight="1" x14ac:dyDescent="0.3">
      <c r="B37" s="83"/>
      <c r="C37" s="84"/>
      <c r="D37" s="85"/>
      <c r="E37" s="86"/>
      <c r="F37" s="85"/>
      <c r="G37" s="85"/>
      <c r="H37" s="87"/>
      <c r="J37" s="83"/>
      <c r="K37" s="84"/>
      <c r="L37" s="85"/>
      <c r="M37" s="86"/>
      <c r="N37" s="85"/>
      <c r="O37" s="85"/>
      <c r="P37" s="87"/>
      <c r="R37" s="83"/>
      <c r="S37" s="84"/>
      <c r="T37" s="85"/>
      <c r="U37" s="86"/>
      <c r="V37" s="85"/>
      <c r="W37" s="85"/>
      <c r="X37" s="87"/>
      <c r="Z37" s="82"/>
      <c r="AA37" s="82"/>
      <c r="AB37" s="82"/>
      <c r="AC37" s="82"/>
      <c r="AD37" s="82"/>
      <c r="AH37"/>
    </row>
    <row r="38" spans="2:34" s="93" customFormat="1" x14ac:dyDescent="0.3">
      <c r="B38" s="88"/>
      <c r="C38" s="89" t="s">
        <v>258</v>
      </c>
      <c r="D38" s="89"/>
      <c r="E38" s="90" t="str">
        <f>VLOOKUP(C38,$AA$8:$AB$25,2,0)</f>
        <v>WAC TEAM HOBOKEN</v>
      </c>
      <c r="F38" s="91"/>
      <c r="G38" s="89" t="str">
        <f>VLOOKUP(C38,$AA:$AC,3,0)</f>
        <v>BEL</v>
      </c>
      <c r="H38" s="92"/>
      <c r="I38" s="71"/>
      <c r="J38" s="88"/>
      <c r="K38" s="89" t="s">
        <v>555</v>
      </c>
      <c r="L38" s="89"/>
      <c r="M38" s="90" t="str">
        <f>VLOOKUP(K38,$AA$8:$AB$25,2,0)</f>
        <v xml:space="preserve">MIX2 - TJ KOVO PRAHA </v>
      </c>
      <c r="N38" s="91"/>
      <c r="O38" s="89" t="str">
        <f>VLOOKUP(K38,$AA:$AC,3,0)</f>
        <v>CZE</v>
      </c>
      <c r="P38" s="92"/>
      <c r="Q38" s="71"/>
      <c r="R38" s="88"/>
      <c r="S38" s="89" t="s">
        <v>133</v>
      </c>
      <c r="T38" s="89"/>
      <c r="U38" s="90" t="str">
        <f>VLOOKUP(S38,$AA$8:$AB$25,2,0)</f>
        <v>GERMAN NATIONAL TEAM</v>
      </c>
      <c r="V38" s="91"/>
      <c r="W38" s="89" t="str">
        <f>VLOOKUP(S38,$AA:$AC,3,0)</f>
        <v>GER</v>
      </c>
      <c r="X38" s="92"/>
      <c r="Z38" s="82"/>
      <c r="AA38" s="82"/>
      <c r="AB38" s="82"/>
      <c r="AC38" s="82"/>
      <c r="AD38" s="82"/>
      <c r="AE38" s="78"/>
      <c r="AH38"/>
    </row>
    <row r="39" spans="2:34" s="100" customFormat="1" ht="12.9" customHeight="1" x14ac:dyDescent="0.3">
      <c r="B39" s="94"/>
      <c r="C39" s="95"/>
      <c r="D39" s="96"/>
      <c r="E39" s="97"/>
      <c r="F39" s="117"/>
      <c r="G39" s="117"/>
      <c r="H39" s="99"/>
      <c r="J39" s="94"/>
      <c r="K39" s="101"/>
      <c r="L39" s="102"/>
      <c r="M39" s="103"/>
      <c r="N39" s="105"/>
      <c r="O39" s="105"/>
      <c r="P39" s="99"/>
      <c r="R39" s="94"/>
      <c r="S39" s="101"/>
      <c r="T39" s="102"/>
      <c r="U39" s="103"/>
      <c r="V39" s="105"/>
      <c r="W39" s="105"/>
      <c r="X39" s="99"/>
      <c r="Z39" s="106"/>
      <c r="AA39" s="106"/>
      <c r="AB39" s="106"/>
      <c r="AC39" s="106"/>
      <c r="AD39" s="106"/>
      <c r="AE39" s="78"/>
      <c r="AH39"/>
    </row>
    <row r="40" spans="2:34" s="71" customFormat="1" x14ac:dyDescent="0.3">
      <c r="B40" s="107"/>
      <c r="C40" s="108">
        <v>61</v>
      </c>
      <c r="D40" s="47"/>
      <c r="E40" s="47" t="str">
        <f t="shared" ref="E40:E48" si="18">VLOOKUP(C40,STARTOVKA,2,0)</f>
        <v>*BEL19980425</v>
      </c>
      <c r="F40" s="53" t="str">
        <f t="shared" ref="F40:F48" si="19">VLOOKUP(C40,STARTOVKA,3,0)</f>
        <v>COMMISSARIS Lucas</v>
      </c>
      <c r="G40" s="47"/>
      <c r="H40" s="109"/>
      <c r="J40" s="107"/>
      <c r="K40" s="108">
        <v>71</v>
      </c>
      <c r="L40" s="47"/>
      <c r="M40" s="47" t="str">
        <f t="shared" ref="M40:M48" si="20">VLOOKUP(K40,STARTOVKA,2,0)</f>
        <v>CZE19990814*</v>
      </c>
      <c r="N40" s="53" t="str">
        <f t="shared" ref="N40:N48" si="21">VLOOKUP(K40,STARTOVKA,3,0)</f>
        <v xml:space="preserve">KLABOUCH Petr </v>
      </c>
      <c r="O40" s="47"/>
      <c r="P40" s="109"/>
      <c r="R40" s="107"/>
      <c r="S40" s="108">
        <v>81</v>
      </c>
      <c r="T40" s="47"/>
      <c r="U40" s="47" t="str">
        <f t="shared" ref="U40:U45" si="22">VLOOKUP(S40,STARTOVKA,2,0)</f>
        <v>*GER19980505</v>
      </c>
      <c r="V40" s="53" t="str">
        <f t="shared" ref="V40:V45" si="23">VLOOKUP(S40,STARTOVKA,3,0)</f>
        <v>HAUPT Tarik</v>
      </c>
      <c r="W40" s="47"/>
      <c r="X40" s="109"/>
      <c r="Z40" s="82"/>
      <c r="AA40" s="82"/>
      <c r="AB40" s="82"/>
      <c r="AC40" s="82"/>
      <c r="AD40" s="82"/>
      <c r="AE40" s="78"/>
      <c r="AH40"/>
    </row>
    <row r="41" spans="2:34" s="71" customFormat="1" x14ac:dyDescent="0.3">
      <c r="B41" s="107"/>
      <c r="C41" s="108">
        <v>62</v>
      </c>
      <c r="D41" s="47"/>
      <c r="E41" s="47" t="str">
        <f t="shared" si="18"/>
        <v>BEL19970621</v>
      </c>
      <c r="F41" s="53" t="str">
        <f t="shared" si="19"/>
        <v>DEKKERS Robin</v>
      </c>
      <c r="G41" s="47"/>
      <c r="H41" s="109"/>
      <c r="J41" s="107"/>
      <c r="K41" s="108">
        <v>72</v>
      </c>
      <c r="L41" s="47"/>
      <c r="M41" s="47" t="str">
        <f t="shared" si="20"/>
        <v>CZE19971221</v>
      </c>
      <c r="N41" s="53" t="str">
        <f t="shared" si="21"/>
        <v xml:space="preserve">KRUMPHANZL Matyáš </v>
      </c>
      <c r="O41" s="47"/>
      <c r="P41" s="109"/>
      <c r="R41" s="107"/>
      <c r="S41" s="108">
        <v>82</v>
      </c>
      <c r="T41" s="47"/>
      <c r="U41" s="47" t="str">
        <f t="shared" si="22"/>
        <v>*GER19980319</v>
      </c>
      <c r="V41" s="53" t="str">
        <f t="shared" si="23"/>
        <v>MEILER Martin</v>
      </c>
      <c r="W41" s="47"/>
      <c r="X41" s="109"/>
      <c r="Z41" s="82"/>
      <c r="AA41" s="82"/>
      <c r="AB41" s="82"/>
      <c r="AC41" s="82"/>
      <c r="AD41" s="82"/>
      <c r="AE41" s="78"/>
      <c r="AH41"/>
    </row>
    <row r="42" spans="2:34" s="71" customFormat="1" x14ac:dyDescent="0.3">
      <c r="B42" s="107"/>
      <c r="C42" s="108">
        <v>63</v>
      </c>
      <c r="D42" s="47"/>
      <c r="E42" s="47" t="str">
        <f t="shared" si="18"/>
        <v>*BEL19980926</v>
      </c>
      <c r="F42" s="53" t="str">
        <f t="shared" si="19"/>
        <v>HUYGEN Wout</v>
      </c>
      <c r="G42" s="47"/>
      <c r="H42" s="109"/>
      <c r="J42" s="107"/>
      <c r="K42" s="108">
        <v>73</v>
      </c>
      <c r="L42" s="47"/>
      <c r="M42" s="47" t="str">
        <f t="shared" si="20"/>
        <v>CZE19991022*</v>
      </c>
      <c r="N42" s="53" t="str">
        <f t="shared" si="21"/>
        <v xml:space="preserve">BABOR Daniel </v>
      </c>
      <c r="O42" s="47"/>
      <c r="P42" s="109"/>
      <c r="R42" s="107"/>
      <c r="S42" s="108">
        <v>83</v>
      </c>
      <c r="T42" s="47"/>
      <c r="U42" s="47" t="str">
        <f t="shared" si="22"/>
        <v>*GER19980312</v>
      </c>
      <c r="V42" s="53" t="str">
        <f t="shared" si="23"/>
        <v>MÖBIS Maximilian</v>
      </c>
      <c r="W42" s="47"/>
      <c r="X42" s="109"/>
      <c r="Z42" s="82"/>
      <c r="AA42" s="82"/>
      <c r="AB42" s="82"/>
      <c r="AC42" s="82"/>
      <c r="AD42" s="82"/>
      <c r="AE42" s="78"/>
      <c r="AH42"/>
    </row>
    <row r="43" spans="2:34" s="71" customFormat="1" x14ac:dyDescent="0.3">
      <c r="B43" s="107"/>
      <c r="C43" s="108">
        <v>64</v>
      </c>
      <c r="D43" s="47"/>
      <c r="E43" s="47" t="str">
        <f t="shared" si="18"/>
        <v>*BEL19980519</v>
      </c>
      <c r="F43" s="53" t="str">
        <f t="shared" si="19"/>
        <v>KONINGS Frits</v>
      </c>
      <c r="G43" s="47"/>
      <c r="H43" s="109"/>
      <c r="J43" s="107"/>
      <c r="K43" s="108">
        <v>74</v>
      </c>
      <c r="L43" s="47"/>
      <c r="M43" s="47" t="str">
        <f t="shared" si="20"/>
        <v>*CZE19980303</v>
      </c>
      <c r="N43" s="53" t="str">
        <f t="shared" si="21"/>
        <v xml:space="preserve">KOUDELA Dominik </v>
      </c>
      <c r="O43" s="47"/>
      <c r="P43" s="109"/>
      <c r="R43" s="107"/>
      <c r="S43" s="108">
        <v>84</v>
      </c>
      <c r="T43" s="47"/>
      <c r="U43" s="47" t="str">
        <f t="shared" si="22"/>
        <v>*GER19981211</v>
      </c>
      <c r="V43" s="53" t="str">
        <f t="shared" si="23"/>
        <v>RUDOLPH Poul</v>
      </c>
      <c r="W43" s="47"/>
      <c r="X43" s="109"/>
      <c r="Z43" s="82"/>
      <c r="AA43" s="82"/>
      <c r="AB43" s="82"/>
      <c r="AC43" s="82"/>
      <c r="AD43" s="82"/>
      <c r="AE43" s="78"/>
      <c r="AH43"/>
    </row>
    <row r="44" spans="2:34" s="71" customFormat="1" x14ac:dyDescent="0.3">
      <c r="B44" s="107"/>
      <c r="C44" s="108">
        <v>65</v>
      </c>
      <c r="D44" s="47"/>
      <c r="E44" s="47" t="str">
        <f t="shared" si="18"/>
        <v>BEL19991005*</v>
      </c>
      <c r="F44" s="53" t="str">
        <f t="shared" si="19"/>
        <v>MARIS Elias</v>
      </c>
      <c r="G44" s="47"/>
      <c r="H44" s="109"/>
      <c r="J44" s="107"/>
      <c r="K44" s="108">
        <v>75</v>
      </c>
      <c r="L44" s="47"/>
      <c r="M44" s="47" t="str">
        <f t="shared" si="20"/>
        <v>CZE19970804</v>
      </c>
      <c r="N44" s="53" t="str">
        <f t="shared" si="21"/>
        <v xml:space="preserve">SPUDIL Martin </v>
      </c>
      <c r="O44" s="47"/>
      <c r="P44" s="109"/>
      <c r="R44" s="107"/>
      <c r="S44" s="108">
        <v>85</v>
      </c>
      <c r="T44" s="47"/>
      <c r="U44" s="47" t="str">
        <f t="shared" si="22"/>
        <v>GER19970211</v>
      </c>
      <c r="V44" s="53" t="str">
        <f t="shared" si="23"/>
        <v>URNAUER Lauritz</v>
      </c>
      <c r="W44" s="47"/>
      <c r="X44" s="109"/>
      <c r="Z44" s="82"/>
      <c r="AA44" s="82"/>
      <c r="AB44" s="82"/>
      <c r="AC44" s="82"/>
      <c r="AD44" s="82"/>
      <c r="AE44" s="78"/>
      <c r="AH44"/>
    </row>
    <row r="45" spans="2:34" s="71" customFormat="1" x14ac:dyDescent="0.3">
      <c r="B45" s="107"/>
      <c r="C45" s="108">
        <v>66</v>
      </c>
      <c r="D45" s="47"/>
      <c r="E45" s="47" t="str">
        <f t="shared" si="18"/>
        <v>BEL19991125*</v>
      </c>
      <c r="F45" s="53" t="str">
        <f t="shared" si="19"/>
        <v>VAN GILS Maxim</v>
      </c>
      <c r="G45" s="47"/>
      <c r="H45" s="109"/>
      <c r="J45" s="107"/>
      <c r="K45" s="108">
        <v>76</v>
      </c>
      <c r="L45" s="47"/>
      <c r="M45" s="47" t="str">
        <f t="shared" si="20"/>
        <v>CZE19971201</v>
      </c>
      <c r="N45" s="53" t="str">
        <f t="shared" si="21"/>
        <v xml:space="preserve">ŠTIBINGR Matěj </v>
      </c>
      <c r="O45" s="47"/>
      <c r="P45" s="109"/>
      <c r="R45" s="107"/>
      <c r="S45" s="108">
        <v>86</v>
      </c>
      <c r="T45" s="47"/>
      <c r="U45" s="47" t="str">
        <f t="shared" si="22"/>
        <v>*GER19980223</v>
      </c>
      <c r="V45" s="53" t="str">
        <f t="shared" si="23"/>
        <v>PLAMBECK Philipp</v>
      </c>
      <c r="W45" s="47"/>
      <c r="X45" s="109"/>
      <c r="Z45" s="82"/>
      <c r="AA45" s="82"/>
      <c r="AB45" s="82"/>
      <c r="AC45" s="82"/>
      <c r="AD45" s="82"/>
      <c r="AE45" s="78"/>
      <c r="AH45"/>
    </row>
    <row r="46" spans="2:34" s="71" customFormat="1" x14ac:dyDescent="0.3">
      <c r="B46" s="107"/>
      <c r="C46" s="108">
        <v>67</v>
      </c>
      <c r="D46" s="47"/>
      <c r="E46" s="47" t="str">
        <f t="shared" si="18"/>
        <v>BEL19991106*</v>
      </c>
      <c r="F46" s="53" t="str">
        <f t="shared" si="19"/>
        <v>VAN OEVELEN Wanne</v>
      </c>
      <c r="G46" s="47"/>
      <c r="H46" s="109"/>
      <c r="J46" s="107"/>
      <c r="K46" s="108">
        <v>77</v>
      </c>
      <c r="L46" s="47"/>
      <c r="M46" s="47" t="str">
        <f t="shared" si="20"/>
        <v>BEL19970116</v>
      </c>
      <c r="N46" s="53" t="str">
        <f t="shared" si="21"/>
        <v>PENNINCK Jens</v>
      </c>
      <c r="O46" s="47"/>
      <c r="P46" s="109"/>
      <c r="R46" s="107"/>
      <c r="S46" s="108"/>
      <c r="T46" s="47"/>
      <c r="U46" s="47"/>
      <c r="V46" s="53"/>
      <c r="W46" s="47"/>
      <c r="X46" s="109"/>
      <c r="Z46" s="82"/>
      <c r="AA46" s="82"/>
      <c r="AB46" s="82"/>
      <c r="AC46" s="82"/>
      <c r="AD46" s="82"/>
      <c r="AE46" s="78"/>
      <c r="AH46"/>
    </row>
    <row r="47" spans="2:34" s="71" customFormat="1" x14ac:dyDescent="0.3">
      <c r="B47" s="107"/>
      <c r="C47" s="108">
        <v>68</v>
      </c>
      <c r="D47" s="47"/>
      <c r="E47" s="47" t="str">
        <f t="shared" si="18"/>
        <v>*BEL19980331</v>
      </c>
      <c r="F47" s="53" t="str">
        <f t="shared" si="19"/>
        <v>VAN STEENSEL Mats</v>
      </c>
      <c r="G47" s="47"/>
      <c r="H47" s="109"/>
      <c r="J47" s="107"/>
      <c r="K47" s="108">
        <v>78</v>
      </c>
      <c r="L47" s="47"/>
      <c r="M47" s="47" t="str">
        <f t="shared" si="20"/>
        <v>*CZE19980106</v>
      </c>
      <c r="N47" s="53" t="str">
        <f t="shared" si="21"/>
        <v xml:space="preserve">BÁRTEK David </v>
      </c>
      <c r="O47" s="47"/>
      <c r="P47" s="109"/>
      <c r="R47" s="107"/>
      <c r="S47" s="108"/>
      <c r="T47" s="47"/>
      <c r="U47" s="47"/>
      <c r="V47" s="53"/>
      <c r="W47" s="47"/>
      <c r="X47" s="109"/>
      <c r="Z47" s="82"/>
      <c r="AA47" s="82"/>
      <c r="AB47" s="82"/>
      <c r="AC47" s="82"/>
      <c r="AD47" s="82"/>
      <c r="AE47" s="78"/>
      <c r="AH47"/>
    </row>
    <row r="48" spans="2:34" s="71" customFormat="1" x14ac:dyDescent="0.3">
      <c r="B48" s="107"/>
      <c r="C48" s="108">
        <v>69</v>
      </c>
      <c r="D48" s="47"/>
      <c r="E48" s="47" t="str">
        <f t="shared" si="18"/>
        <v>BEL19990101*</v>
      </c>
      <c r="F48" s="53" t="str">
        <f t="shared" si="19"/>
        <v>VAN LAER Jan</v>
      </c>
      <c r="G48" s="47"/>
      <c r="H48" s="109"/>
      <c r="J48" s="107"/>
      <c r="K48" s="108">
        <v>79</v>
      </c>
      <c r="L48" s="47"/>
      <c r="M48" s="47" t="str">
        <f t="shared" si="20"/>
        <v>*CZE19980414</v>
      </c>
      <c r="N48" s="53" t="str">
        <f t="shared" si="21"/>
        <v xml:space="preserve">MACEK Michal </v>
      </c>
      <c r="O48" s="47"/>
      <c r="P48" s="109"/>
      <c r="R48" s="107"/>
      <c r="S48" s="108"/>
      <c r="T48" s="47"/>
      <c r="U48" s="47"/>
      <c r="V48" s="53"/>
      <c r="W48" s="47"/>
      <c r="X48" s="109"/>
      <c r="Z48" s="82"/>
      <c r="AA48" s="82"/>
      <c r="AB48" s="82"/>
      <c r="AC48" s="82"/>
      <c r="AD48" s="82"/>
      <c r="AE48" s="78"/>
      <c r="AH48"/>
    </row>
    <row r="49" spans="2:34" s="71" customFormat="1" x14ac:dyDescent="0.3">
      <c r="B49" s="107"/>
      <c r="C49" s="108"/>
      <c r="D49" s="47"/>
      <c r="E49" s="47"/>
      <c r="F49" s="53"/>
      <c r="G49" s="47"/>
      <c r="H49" s="109"/>
      <c r="J49" s="107"/>
      <c r="K49" s="108"/>
      <c r="L49" s="47"/>
      <c r="M49" s="47"/>
      <c r="N49" s="53"/>
      <c r="O49" s="47"/>
      <c r="P49" s="109"/>
      <c r="R49" s="107"/>
      <c r="S49" s="108"/>
      <c r="T49" s="47"/>
      <c r="U49" s="47"/>
      <c r="V49" s="53"/>
      <c r="W49" s="47"/>
      <c r="X49" s="109"/>
      <c r="Z49" s="82"/>
      <c r="AA49" s="82"/>
      <c r="AB49" s="82"/>
      <c r="AC49" s="82"/>
      <c r="AD49" s="82"/>
      <c r="AE49" s="78"/>
      <c r="AH49"/>
    </row>
    <row r="50" spans="2:34" s="71" customFormat="1" ht="3.9" customHeight="1" x14ac:dyDescent="0.3">
      <c r="B50" s="110"/>
      <c r="C50" s="111"/>
      <c r="D50" s="112"/>
      <c r="E50" s="112"/>
      <c r="F50" s="112"/>
      <c r="G50" s="112"/>
      <c r="H50" s="113"/>
      <c r="J50" s="110"/>
      <c r="K50" s="111"/>
      <c r="L50" s="112"/>
      <c r="M50" s="112"/>
      <c r="N50" s="112"/>
      <c r="O50" s="112"/>
      <c r="P50" s="113"/>
      <c r="R50" s="110"/>
      <c r="S50" s="111"/>
      <c r="T50" s="112"/>
      <c r="U50" s="112"/>
      <c r="V50" s="112"/>
      <c r="W50" s="112"/>
      <c r="X50" s="113"/>
      <c r="Z50" s="82"/>
      <c r="AA50" s="82"/>
      <c r="AB50" s="82"/>
      <c r="AC50" s="82"/>
      <c r="AD50" s="82"/>
      <c r="AE50" s="78"/>
      <c r="AH50"/>
    </row>
    <row r="51" spans="2:34" s="57" customFormat="1" ht="9" customHeight="1" x14ac:dyDescent="0.3">
      <c r="B51" s="114"/>
      <c r="C51" s="115"/>
      <c r="D51" s="114"/>
      <c r="E51" s="116"/>
      <c r="F51" s="114"/>
      <c r="G51" s="114"/>
      <c r="H51" s="114"/>
      <c r="J51" s="114"/>
      <c r="K51" s="115"/>
      <c r="L51" s="114"/>
      <c r="M51" s="116"/>
      <c r="N51" s="114"/>
      <c r="O51" s="114"/>
      <c r="P51" s="114"/>
      <c r="R51" s="114"/>
      <c r="S51" s="115"/>
      <c r="T51" s="114"/>
      <c r="U51" s="116"/>
      <c r="V51" s="114"/>
      <c r="W51" s="114"/>
      <c r="X51" s="114"/>
      <c r="Z51" s="82"/>
      <c r="AA51" s="82"/>
      <c r="AB51" s="82"/>
      <c r="AC51" s="82"/>
      <c r="AD51" s="82"/>
      <c r="AE51" s="78"/>
      <c r="AH51"/>
    </row>
    <row r="52" spans="2:34" ht="3.9" customHeight="1" x14ac:dyDescent="0.3">
      <c r="B52" s="83"/>
      <c r="C52" s="84"/>
      <c r="D52" s="85"/>
      <c r="E52" s="86"/>
      <c r="F52" s="85"/>
      <c r="G52" s="85"/>
      <c r="H52" s="87"/>
      <c r="J52" s="83"/>
      <c r="K52" s="84"/>
      <c r="L52" s="85"/>
      <c r="M52" s="86"/>
      <c r="N52" s="85"/>
      <c r="O52" s="85"/>
      <c r="P52" s="87"/>
      <c r="R52" s="83"/>
      <c r="S52" s="84"/>
      <c r="T52" s="85"/>
      <c r="U52" s="86"/>
      <c r="V52" s="85"/>
      <c r="W52" s="85"/>
      <c r="X52" s="87"/>
      <c r="Z52" s="82"/>
      <c r="AA52" s="82"/>
      <c r="AB52" s="82"/>
      <c r="AC52" s="82"/>
      <c r="AD52" s="82"/>
      <c r="AH52"/>
    </row>
    <row r="53" spans="2:34" s="93" customFormat="1" x14ac:dyDescent="0.3">
      <c r="B53" s="88"/>
      <c r="C53" s="89" t="s">
        <v>243</v>
      </c>
      <c r="D53" s="89"/>
      <c r="E53" s="90" t="str">
        <f>VLOOKUP(C53,$AA$8:$AB$25,2,0)</f>
        <v>RG BERLIN</v>
      </c>
      <c r="F53" s="91"/>
      <c r="G53" s="89" t="str">
        <f>VLOOKUP(C53,$AA:$AC,3,0)</f>
        <v>GER</v>
      </c>
      <c r="H53" s="92"/>
      <c r="I53" s="71"/>
      <c r="J53" s="88"/>
      <c r="K53" s="89" t="s">
        <v>39</v>
      </c>
      <c r="L53" s="89"/>
      <c r="M53" s="90" t="str">
        <f>VLOOKUP(K53,$AA$8:$AB$25,2,0)</f>
        <v>SLOVAK CYCLING FEDERATION</v>
      </c>
      <c r="N53" s="91"/>
      <c r="O53" s="89" t="str">
        <f>VLOOKUP(K53,$AA:$AC,3,0)</f>
        <v>SVK</v>
      </c>
      <c r="P53" s="92"/>
      <c r="Q53" s="71"/>
      <c r="R53" s="88"/>
      <c r="S53" s="89" t="s">
        <v>571</v>
      </c>
      <c r="T53" s="89"/>
      <c r="U53" s="90" t="str">
        <f>VLOOKUP(S53,$AA$8:$AB$25,2,0)</f>
        <v xml:space="preserve">MIX3 - ČEZ CYKLO TEAM TÁBOR </v>
      </c>
      <c r="V53" s="91"/>
      <c r="W53" s="89" t="str">
        <f>VLOOKUP(S53,$AA:$AC,3,0)</f>
        <v>CZE</v>
      </c>
      <c r="X53" s="92"/>
      <c r="Z53" s="82"/>
      <c r="AA53" s="82"/>
      <c r="AB53" s="82"/>
      <c r="AC53" s="82"/>
      <c r="AD53" s="82"/>
      <c r="AE53" s="78"/>
      <c r="AH53"/>
    </row>
    <row r="54" spans="2:34" s="100" customFormat="1" ht="12.9" customHeight="1" x14ac:dyDescent="0.3">
      <c r="B54" s="94"/>
      <c r="C54" s="95"/>
      <c r="D54" s="96"/>
      <c r="E54" s="97"/>
      <c r="F54" s="117"/>
      <c r="G54" s="117"/>
      <c r="H54" s="99"/>
      <c r="J54" s="94"/>
      <c r="K54" s="101"/>
      <c r="L54" s="102"/>
      <c r="M54" s="103"/>
      <c r="N54" s="105"/>
      <c r="O54" s="105"/>
      <c r="P54" s="99"/>
      <c r="R54" s="94"/>
      <c r="S54" s="101"/>
      <c r="T54" s="102"/>
      <c r="U54" s="103"/>
      <c r="V54" s="105"/>
      <c r="W54" s="105"/>
      <c r="X54" s="99"/>
      <c r="Z54" s="106"/>
      <c r="AA54" s="106"/>
      <c r="AB54" s="106"/>
      <c r="AC54" s="106"/>
      <c r="AD54" s="106"/>
      <c r="AE54" s="78"/>
      <c r="AH54"/>
    </row>
    <row r="55" spans="2:34" s="71" customFormat="1" x14ac:dyDescent="0.3">
      <c r="B55" s="107"/>
      <c r="C55" s="108">
        <v>91</v>
      </c>
      <c r="D55" s="47"/>
      <c r="E55" s="47" t="str">
        <f t="shared" ref="E55:E60" si="24">VLOOKUP(C55,STARTOVKA,2,0)</f>
        <v>*GER19981104</v>
      </c>
      <c r="F55" s="53" t="str">
        <f t="shared" ref="F55:F60" si="25">VLOOKUP(C55,STARTOVKA,3,0)</f>
        <v>BRANDT Nicolas</v>
      </c>
      <c r="G55" s="47"/>
      <c r="H55" s="109"/>
      <c r="J55" s="107"/>
      <c r="K55" s="108">
        <v>101</v>
      </c>
      <c r="L55" s="47"/>
      <c r="M55" s="47" t="str">
        <f t="shared" ref="M55:M60" si="26">VLOOKUP(K55,STARTOVKA,2,0)</f>
        <v>SVK19971212</v>
      </c>
      <c r="N55" s="53" t="str">
        <f t="shared" ref="N55:N60" si="27">VLOOKUP(K55,STARTOVKA,3,0)</f>
        <v>KOVÁČIK Vladimír</v>
      </c>
      <c r="O55" s="47"/>
      <c r="P55" s="109"/>
      <c r="R55" s="107"/>
      <c r="S55" s="108">
        <v>111</v>
      </c>
      <c r="T55" s="47"/>
      <c r="U55" s="47" t="str">
        <f t="shared" ref="U55:U63" si="28">VLOOKUP(S55,STARTOVKA,2,0)</f>
        <v>*CZE19981028</v>
      </c>
      <c r="V55" s="53" t="str">
        <f t="shared" ref="V55:V63" si="29">VLOOKUP(S55,STARTOVKA,3,0)</f>
        <v xml:space="preserve">BAKUS Tomáš </v>
      </c>
      <c r="W55" s="47"/>
      <c r="X55" s="109"/>
      <c r="Z55" s="82"/>
      <c r="AA55" s="82"/>
      <c r="AB55" s="82"/>
      <c r="AC55" s="82"/>
      <c r="AD55" s="82"/>
      <c r="AE55" s="78"/>
      <c r="AH55"/>
    </row>
    <row r="56" spans="2:34" s="71" customFormat="1" x14ac:dyDescent="0.3">
      <c r="B56" s="107"/>
      <c r="C56" s="108">
        <v>92</v>
      </c>
      <c r="D56" s="47"/>
      <c r="E56" s="47" t="str">
        <f t="shared" si="24"/>
        <v>GER20000619*</v>
      </c>
      <c r="F56" s="53" t="str">
        <f t="shared" si="25"/>
        <v>DREIER Fabian</v>
      </c>
      <c r="G56" s="47"/>
      <c r="H56" s="109"/>
      <c r="J56" s="107"/>
      <c r="K56" s="108">
        <v>102</v>
      </c>
      <c r="L56" s="47"/>
      <c r="M56" s="47" t="str">
        <f t="shared" si="26"/>
        <v>SVK19970522</v>
      </c>
      <c r="N56" s="53" t="str">
        <f t="shared" si="27"/>
        <v>KVIETOK Pavol</v>
      </c>
      <c r="O56" s="47"/>
      <c r="P56" s="109"/>
      <c r="R56" s="107"/>
      <c r="S56" s="108">
        <v>112</v>
      </c>
      <c r="T56" s="47"/>
      <c r="U56" s="47" t="str">
        <f t="shared" si="28"/>
        <v>*CZE19980616</v>
      </c>
      <c r="V56" s="53" t="str">
        <f t="shared" si="29"/>
        <v xml:space="preserve">DRDEK Dominik </v>
      </c>
      <c r="W56" s="47"/>
      <c r="X56" s="109"/>
      <c r="Z56" s="82"/>
      <c r="AA56" s="82"/>
      <c r="AB56" s="82"/>
      <c r="AC56" s="82"/>
      <c r="AD56" s="82"/>
      <c r="AE56" s="78"/>
      <c r="AH56"/>
    </row>
    <row r="57" spans="2:34" s="71" customFormat="1" x14ac:dyDescent="0.3">
      <c r="B57" s="107"/>
      <c r="C57" s="108">
        <v>93</v>
      </c>
      <c r="D57" s="47"/>
      <c r="E57" s="47" t="str">
        <f t="shared" si="24"/>
        <v>GER19990721*</v>
      </c>
      <c r="F57" s="53" t="str">
        <f t="shared" si="25"/>
        <v>GRABOWSKY Joe</v>
      </c>
      <c r="G57" s="47"/>
      <c r="H57" s="109"/>
      <c r="J57" s="107"/>
      <c r="K57" s="108">
        <v>103</v>
      </c>
      <c r="L57" s="47"/>
      <c r="M57" s="47" t="str">
        <f t="shared" si="26"/>
        <v>SVK19970730</v>
      </c>
      <c r="N57" s="53" t="str">
        <f t="shared" si="27"/>
        <v>MEŇUŠ Tomáš</v>
      </c>
      <c r="O57" s="47"/>
      <c r="P57" s="109"/>
      <c r="R57" s="107"/>
      <c r="S57" s="108">
        <v>113</v>
      </c>
      <c r="T57" s="47"/>
      <c r="U57" s="47" t="str">
        <f t="shared" si="28"/>
        <v>*CZE19980120</v>
      </c>
      <c r="V57" s="53" t="str">
        <f t="shared" si="29"/>
        <v xml:space="preserve">NOVÁK Jan </v>
      </c>
      <c r="W57" s="47"/>
      <c r="X57" s="109"/>
      <c r="Z57" s="82"/>
      <c r="AA57" s="82"/>
      <c r="AB57" s="82"/>
      <c r="AC57" s="82"/>
      <c r="AD57" s="82"/>
      <c r="AE57" s="78"/>
      <c r="AH57"/>
    </row>
    <row r="58" spans="2:34" s="71" customFormat="1" x14ac:dyDescent="0.3">
      <c r="B58" s="107"/>
      <c r="C58" s="108">
        <v>94</v>
      </c>
      <c r="D58" s="47"/>
      <c r="E58" s="47" t="str">
        <f t="shared" si="24"/>
        <v>GER19971001</v>
      </c>
      <c r="F58" s="53" t="str">
        <f t="shared" si="25"/>
        <v>HOLTZ Christopher</v>
      </c>
      <c r="G58" s="47"/>
      <c r="H58" s="109"/>
      <c r="J58" s="107"/>
      <c r="K58" s="108">
        <v>104</v>
      </c>
      <c r="L58" s="47"/>
      <c r="M58" s="47" t="str">
        <f t="shared" si="26"/>
        <v>SVK19970514</v>
      </c>
      <c r="N58" s="53" t="str">
        <f t="shared" si="27"/>
        <v>TRUBAN Matej</v>
      </c>
      <c r="O58" s="47"/>
      <c r="P58" s="109"/>
      <c r="R58" s="107"/>
      <c r="S58" s="108">
        <v>114</v>
      </c>
      <c r="T58" s="47"/>
      <c r="U58" s="47" t="str">
        <f t="shared" si="28"/>
        <v>CZE19991205*</v>
      </c>
      <c r="V58" s="53" t="str">
        <f t="shared" si="29"/>
        <v xml:space="preserve">SYROVÁTKA Matěj </v>
      </c>
      <c r="W58" s="47"/>
      <c r="X58" s="109"/>
      <c r="Z58" s="82"/>
      <c r="AA58" s="82"/>
      <c r="AB58" s="82"/>
      <c r="AC58" s="82"/>
      <c r="AD58" s="82"/>
      <c r="AE58" s="78"/>
      <c r="AH58"/>
    </row>
    <row r="59" spans="2:34" s="71" customFormat="1" x14ac:dyDescent="0.3">
      <c r="B59" s="107"/>
      <c r="C59" s="108">
        <v>95</v>
      </c>
      <c r="D59" s="47"/>
      <c r="E59" s="47" t="str">
        <f t="shared" si="24"/>
        <v>*GER19981026</v>
      </c>
      <c r="F59" s="53" t="str">
        <f t="shared" si="25"/>
        <v>KUNERT Pepe</v>
      </c>
      <c r="G59" s="47"/>
      <c r="H59" s="109"/>
      <c r="J59" s="107"/>
      <c r="K59" s="108">
        <v>105</v>
      </c>
      <c r="L59" s="47"/>
      <c r="M59" s="47" t="str">
        <f t="shared" si="26"/>
        <v>*SVK19980903</v>
      </c>
      <c r="N59" s="53" t="str">
        <f t="shared" si="27"/>
        <v>VOJTEK Miloš</v>
      </c>
      <c r="O59" s="47"/>
      <c r="P59" s="109"/>
      <c r="R59" s="107"/>
      <c r="S59" s="108">
        <v>115</v>
      </c>
      <c r="T59" s="47"/>
      <c r="U59" s="47" t="str">
        <f t="shared" si="28"/>
        <v>*CZE19980802</v>
      </c>
      <c r="V59" s="53" t="str">
        <f t="shared" si="29"/>
        <v xml:space="preserve">CHARALAMBIDIS Denis </v>
      </c>
      <c r="W59" s="47"/>
      <c r="X59" s="109"/>
      <c r="Z59" s="82"/>
      <c r="AA59" s="82"/>
      <c r="AB59" s="82"/>
      <c r="AC59" s="82"/>
      <c r="AD59" s="82"/>
      <c r="AE59" s="78"/>
      <c r="AH59"/>
    </row>
    <row r="60" spans="2:34" s="71" customFormat="1" x14ac:dyDescent="0.3">
      <c r="B60" s="107"/>
      <c r="C60" s="108">
        <v>96</v>
      </c>
      <c r="D60" s="47"/>
      <c r="E60" s="47" t="str">
        <f t="shared" si="24"/>
        <v>GER19971221</v>
      </c>
      <c r="F60" s="53" t="str">
        <f t="shared" si="25"/>
        <v>BAUMANN Kian</v>
      </c>
      <c r="G60" s="47"/>
      <c r="H60" s="109"/>
      <c r="J60" s="107"/>
      <c r="K60" s="108">
        <v>106</v>
      </c>
      <c r="L60" s="47"/>
      <c r="M60" s="47" t="str">
        <f t="shared" si="26"/>
        <v>*SVK19980719</v>
      </c>
      <c r="N60" s="53" t="str">
        <f t="shared" si="27"/>
        <v>GAJDOŠÍK Ján</v>
      </c>
      <c r="O60" s="47"/>
      <c r="P60" s="109"/>
      <c r="R60" s="107"/>
      <c r="S60" s="108">
        <v>116</v>
      </c>
      <c r="T60" s="47"/>
      <c r="U60" s="47" t="str">
        <f t="shared" si="28"/>
        <v>CZE19990602*</v>
      </c>
      <c r="V60" s="53" t="str">
        <f t="shared" si="29"/>
        <v xml:space="preserve">KUBA Karel </v>
      </c>
      <c r="W60" s="47"/>
      <c r="X60" s="109"/>
      <c r="Z60" s="82"/>
      <c r="AA60" s="82"/>
      <c r="AB60" s="82"/>
      <c r="AC60" s="82"/>
      <c r="AD60" s="82"/>
      <c r="AE60" s="78"/>
      <c r="AH60"/>
    </row>
    <row r="61" spans="2:34" s="71" customFormat="1" x14ac:dyDescent="0.3">
      <c r="B61" s="107"/>
      <c r="C61" s="108"/>
      <c r="D61" s="47"/>
      <c r="E61" s="47"/>
      <c r="F61" s="53"/>
      <c r="G61" s="47"/>
      <c r="H61" s="109"/>
      <c r="J61" s="107"/>
      <c r="K61" s="108"/>
      <c r="L61" s="47"/>
      <c r="M61" s="47"/>
      <c r="N61" s="53"/>
      <c r="O61" s="47"/>
      <c r="P61" s="109"/>
      <c r="R61" s="107"/>
      <c r="S61" s="108">
        <v>117</v>
      </c>
      <c r="T61" s="47"/>
      <c r="U61" s="47" t="str">
        <f t="shared" si="28"/>
        <v>CZE19970109</v>
      </c>
      <c r="V61" s="53" t="str">
        <f t="shared" si="29"/>
        <v xml:space="preserve">SVATEK Miroslav </v>
      </c>
      <c r="W61" s="47"/>
      <c r="X61" s="109"/>
      <c r="Z61" s="82"/>
      <c r="AA61" s="82"/>
      <c r="AB61" s="82"/>
      <c r="AC61" s="82"/>
      <c r="AD61" s="82"/>
      <c r="AE61" s="78"/>
      <c r="AH61"/>
    </row>
    <row r="62" spans="2:34" s="71" customFormat="1" x14ac:dyDescent="0.3">
      <c r="B62" s="107"/>
      <c r="C62" s="108"/>
      <c r="D62" s="47"/>
      <c r="E62" s="47"/>
      <c r="F62" s="53"/>
      <c r="G62" s="47"/>
      <c r="H62" s="109"/>
      <c r="J62" s="107"/>
      <c r="K62" s="108"/>
      <c r="L62" s="47"/>
      <c r="M62" s="47"/>
      <c r="N62" s="53"/>
      <c r="O62" s="47"/>
      <c r="P62" s="109"/>
      <c r="R62" s="107"/>
      <c r="S62" s="108">
        <v>118</v>
      </c>
      <c r="T62" s="47"/>
      <c r="U62" s="47" t="str">
        <f t="shared" si="28"/>
        <v>CZE19970110</v>
      </c>
      <c r="V62" s="53" t="str">
        <f t="shared" si="29"/>
        <v xml:space="preserve">KŘIKAVA Jakub </v>
      </c>
      <c r="W62" s="47"/>
      <c r="X62" s="109"/>
      <c r="Z62" s="82"/>
      <c r="AA62" s="82"/>
      <c r="AB62" s="82"/>
      <c r="AC62" s="82"/>
      <c r="AD62" s="82"/>
      <c r="AE62" s="78"/>
      <c r="AH62"/>
    </row>
    <row r="63" spans="2:34" s="71" customFormat="1" x14ac:dyDescent="0.3">
      <c r="B63" s="107"/>
      <c r="C63" s="108"/>
      <c r="D63" s="47"/>
      <c r="E63" s="47"/>
      <c r="F63" s="53"/>
      <c r="G63" s="47"/>
      <c r="H63" s="109"/>
      <c r="J63" s="107"/>
      <c r="K63" s="108"/>
      <c r="L63" s="47"/>
      <c r="M63" s="47"/>
      <c r="N63" s="53"/>
      <c r="O63" s="47"/>
      <c r="P63" s="109"/>
      <c r="R63" s="107"/>
      <c r="S63" s="108">
        <v>119</v>
      </c>
      <c r="T63" s="47"/>
      <c r="U63" s="47" t="str">
        <f t="shared" si="28"/>
        <v>CZE19990706*</v>
      </c>
      <c r="V63" s="53" t="str">
        <f t="shared" si="29"/>
        <v xml:space="preserve">TUHÝ Jan </v>
      </c>
      <c r="W63" s="47"/>
      <c r="X63" s="109"/>
      <c r="Z63" s="82"/>
      <c r="AA63" s="82"/>
      <c r="AB63" s="82"/>
      <c r="AC63" s="82"/>
      <c r="AD63" s="82"/>
      <c r="AE63" s="78"/>
      <c r="AH63"/>
    </row>
    <row r="64" spans="2:34" s="71" customFormat="1" x14ac:dyDescent="0.3">
      <c r="B64" s="107"/>
      <c r="C64" s="108"/>
      <c r="D64" s="47"/>
      <c r="E64" s="47"/>
      <c r="F64" s="53"/>
      <c r="G64" s="47"/>
      <c r="H64" s="109"/>
      <c r="J64" s="107"/>
      <c r="K64" s="108"/>
      <c r="L64" s="47"/>
      <c r="M64" s="47"/>
      <c r="N64" s="53"/>
      <c r="O64" s="47"/>
      <c r="P64" s="109"/>
      <c r="R64" s="107"/>
      <c r="S64" s="108"/>
      <c r="T64" s="47"/>
      <c r="U64" s="47"/>
      <c r="V64" s="53"/>
      <c r="W64" s="47"/>
      <c r="X64" s="109"/>
      <c r="Z64" s="82"/>
      <c r="AA64" s="82"/>
      <c r="AB64" s="82"/>
      <c r="AC64" s="82"/>
      <c r="AD64" s="82"/>
      <c r="AE64" s="78"/>
      <c r="AH64"/>
    </row>
    <row r="65" spans="2:34" s="71" customFormat="1" ht="3.9" customHeight="1" x14ac:dyDescent="0.3">
      <c r="B65" s="110"/>
      <c r="C65" s="111"/>
      <c r="D65" s="112"/>
      <c r="E65" s="112"/>
      <c r="F65" s="112"/>
      <c r="G65" s="112"/>
      <c r="H65" s="113"/>
      <c r="J65" s="110"/>
      <c r="K65" s="111"/>
      <c r="L65" s="112"/>
      <c r="M65" s="112"/>
      <c r="N65" s="112"/>
      <c r="O65" s="112"/>
      <c r="P65" s="113"/>
      <c r="R65" s="110"/>
      <c r="S65" s="111"/>
      <c r="T65" s="112"/>
      <c r="U65" s="112"/>
      <c r="V65" s="112"/>
      <c r="W65" s="112"/>
      <c r="X65" s="113"/>
      <c r="Z65" s="82"/>
      <c r="AA65" s="82"/>
      <c r="AB65" s="82"/>
      <c r="AC65" s="82"/>
      <c r="AD65" s="82"/>
      <c r="AE65" s="78"/>
      <c r="AH65"/>
    </row>
    <row r="66" spans="2:34" s="57" customFormat="1" ht="9" customHeight="1" x14ac:dyDescent="0.3">
      <c r="B66" s="114"/>
      <c r="C66" s="115"/>
      <c r="D66" s="114"/>
      <c r="E66" s="116"/>
      <c r="F66" s="114"/>
      <c r="G66" s="114"/>
      <c r="H66" s="114"/>
      <c r="J66" s="114"/>
      <c r="K66" s="115"/>
      <c r="L66" s="114"/>
      <c r="M66" s="116"/>
      <c r="N66" s="114"/>
      <c r="O66" s="114"/>
      <c r="P66" s="114"/>
      <c r="R66" s="114"/>
      <c r="S66" s="115"/>
      <c r="T66" s="114"/>
      <c r="U66" s="116"/>
      <c r="V66" s="114"/>
      <c r="W66" s="114"/>
      <c r="X66" s="114"/>
      <c r="Z66" s="82"/>
      <c r="AA66" s="82"/>
      <c r="AB66" s="82"/>
      <c r="AC66" s="82"/>
      <c r="AD66" s="82"/>
      <c r="AE66" s="78"/>
      <c r="AH66"/>
    </row>
    <row r="67" spans="2:34" ht="3.9" customHeight="1" x14ac:dyDescent="0.3">
      <c r="B67" s="83"/>
      <c r="C67" s="84"/>
      <c r="D67" s="85"/>
      <c r="E67" s="86"/>
      <c r="F67" s="85"/>
      <c r="G67" s="85"/>
      <c r="H67" s="87"/>
      <c r="J67" s="83"/>
      <c r="K67" s="84"/>
      <c r="L67" s="85"/>
      <c r="M67" s="86"/>
      <c r="N67" s="85"/>
      <c r="O67" s="85"/>
      <c r="P67" s="87"/>
      <c r="R67" s="83"/>
      <c r="S67" s="84"/>
      <c r="T67" s="85"/>
      <c r="U67" s="86"/>
      <c r="V67" s="85"/>
      <c r="W67" s="85"/>
      <c r="X67" s="87"/>
      <c r="Z67" s="82"/>
      <c r="AA67" s="82"/>
      <c r="AB67" s="82"/>
      <c r="AC67" s="82"/>
      <c r="AD67" s="82"/>
      <c r="AH67"/>
    </row>
    <row r="68" spans="2:34" s="93" customFormat="1" x14ac:dyDescent="0.3">
      <c r="B68" s="88"/>
      <c r="C68" s="89" t="s">
        <v>300</v>
      </c>
      <c r="D68" s="89"/>
      <c r="E68" s="90" t="str">
        <f>VLOOKUP(C68,$AA$8:$AB$25,2,0)</f>
        <v xml:space="preserve">MIX4 - KC KOOPERATIVA SG </v>
      </c>
      <c r="F68" s="91"/>
      <c r="G68" s="89" t="str">
        <f>VLOOKUP(C68,$AA:$AC,3,0)</f>
        <v>CZE</v>
      </c>
      <c r="H68" s="92"/>
      <c r="I68" s="71"/>
      <c r="J68" s="88"/>
      <c r="K68" s="89" t="s">
        <v>576</v>
      </c>
      <c r="L68" s="89"/>
      <c r="M68" s="90" t="str">
        <f>VLOOKUP(K68,$AA$8:$AB$25,2,0)</f>
        <v>MIX5 - TJ SLAVIA SG TRENČÍN</v>
      </c>
      <c r="N68" s="91"/>
      <c r="O68" s="89" t="str">
        <f>VLOOKUP(K68,$AA:$AC,3,0)</f>
        <v>SVK</v>
      </c>
      <c r="P68" s="92"/>
      <c r="Q68" s="71"/>
      <c r="R68" s="88"/>
      <c r="S68" s="89" t="s">
        <v>38</v>
      </c>
      <c r="T68" s="89"/>
      <c r="U68" s="90" t="str">
        <f>VLOOKUP(S68,$AA$8:$AB$25,2,0)</f>
        <v>MIX6 - TJ FAVORIT BRNO</v>
      </c>
      <c r="V68" s="91"/>
      <c r="W68" s="89" t="str">
        <f>VLOOKUP(S68,$AA:$AC,3,0)</f>
        <v>CZE</v>
      </c>
      <c r="X68" s="92"/>
      <c r="Z68" s="82"/>
      <c r="AA68" s="82"/>
      <c r="AB68" s="82"/>
      <c r="AC68" s="82"/>
      <c r="AD68" s="82"/>
      <c r="AE68" s="78"/>
      <c r="AH68"/>
    </row>
    <row r="69" spans="2:34" s="100" customFormat="1" ht="12.9" customHeight="1" x14ac:dyDescent="0.3">
      <c r="B69" s="94"/>
      <c r="C69" s="95"/>
      <c r="D69" s="96"/>
      <c r="E69" s="97"/>
      <c r="F69" s="117"/>
      <c r="G69" s="117"/>
      <c r="H69" s="99"/>
      <c r="J69" s="94"/>
      <c r="K69" s="101"/>
      <c r="L69" s="102"/>
      <c r="M69" s="103"/>
      <c r="N69" s="105"/>
      <c r="O69" s="105"/>
      <c r="P69" s="99"/>
      <c r="R69" s="94"/>
      <c r="S69" s="101"/>
      <c r="T69" s="102"/>
      <c r="U69" s="103"/>
      <c r="V69" s="105"/>
      <c r="W69" s="105"/>
      <c r="X69" s="99"/>
      <c r="Z69" s="106"/>
      <c r="AA69" s="106"/>
      <c r="AB69" s="106"/>
      <c r="AC69" s="106"/>
      <c r="AD69" s="106"/>
      <c r="AE69" s="78"/>
      <c r="AH69"/>
    </row>
    <row r="70" spans="2:34" s="71" customFormat="1" x14ac:dyDescent="0.3">
      <c r="B70" s="107"/>
      <c r="C70" s="108">
        <v>121</v>
      </c>
      <c r="D70" s="47"/>
      <c r="E70" s="47" t="str">
        <f t="shared" ref="E70:E76" si="30">VLOOKUP(C70,STARTOVKA,2,0)</f>
        <v>CZE19990209*</v>
      </c>
      <c r="F70" s="53" t="str">
        <f t="shared" ref="F70:F76" si="31">VLOOKUP(C70,STARTOVKA,3,0)</f>
        <v xml:space="preserve">HONZÁK David </v>
      </c>
      <c r="G70" s="47"/>
      <c r="H70" s="109"/>
      <c r="J70" s="107"/>
      <c r="K70" s="108">
        <v>131</v>
      </c>
      <c r="L70" s="47"/>
      <c r="M70" s="47" t="str">
        <f t="shared" ref="M70:M79" si="32">VLOOKUP(K70,STARTOVKA,2,0)</f>
        <v>SVK19990529*</v>
      </c>
      <c r="N70" s="53" t="str">
        <f t="shared" ref="N70:N79" si="33">VLOOKUP(K70,STARTOVKA,3,0)</f>
        <v>LIŠKA Daniel</v>
      </c>
      <c r="O70" s="47"/>
      <c r="P70" s="109"/>
      <c r="R70" s="107"/>
      <c r="S70" s="108">
        <v>141</v>
      </c>
      <c r="T70" s="47"/>
      <c r="U70" s="47" t="str">
        <f t="shared" ref="U70:U79" si="34">VLOOKUP(S70,STARTOVKA,2,0)</f>
        <v>SVK20000619*</v>
      </c>
      <c r="V70" s="53" t="str">
        <f t="shared" ref="V70:V79" si="35">VLOOKUP(S70,STARTOVKA,3,0)</f>
        <v>COMA Richard</v>
      </c>
      <c r="W70" s="47"/>
      <c r="X70" s="109"/>
      <c r="Z70" s="82"/>
      <c r="AA70" s="82"/>
      <c r="AB70" s="82"/>
      <c r="AC70" s="82"/>
      <c r="AD70" s="82"/>
      <c r="AE70" s="78"/>
      <c r="AH70"/>
    </row>
    <row r="71" spans="2:34" s="71" customFormat="1" x14ac:dyDescent="0.3">
      <c r="B71" s="107"/>
      <c r="C71" s="108">
        <v>122</v>
      </c>
      <c r="D71" s="47"/>
      <c r="E71" s="47" t="str">
        <f t="shared" si="30"/>
        <v>*CZE19980914</v>
      </c>
      <c r="F71" s="53" t="str">
        <f t="shared" si="31"/>
        <v xml:space="preserve">HRUBÝ Jakub </v>
      </c>
      <c r="G71" s="47"/>
      <c r="H71" s="109"/>
      <c r="J71" s="107"/>
      <c r="K71" s="108">
        <v>132</v>
      </c>
      <c r="L71" s="47"/>
      <c r="M71" s="47" t="str">
        <f t="shared" si="32"/>
        <v>*SVK19981117</v>
      </c>
      <c r="N71" s="53" t="str">
        <f t="shared" si="33"/>
        <v>ZEMAN Alex</v>
      </c>
      <c r="O71" s="47"/>
      <c r="P71" s="109"/>
      <c r="R71" s="107"/>
      <c r="S71" s="108">
        <v>142</v>
      </c>
      <c r="T71" s="47"/>
      <c r="U71" s="47" t="str">
        <f t="shared" si="34"/>
        <v>SVK20000502*</v>
      </c>
      <c r="V71" s="53" t="str">
        <f t="shared" si="35"/>
        <v>BUČKO Adam</v>
      </c>
      <c r="W71" s="47"/>
      <c r="X71" s="109"/>
      <c r="Z71" s="82"/>
      <c r="AA71" s="82"/>
      <c r="AB71" s="82"/>
      <c r="AC71" s="82"/>
      <c r="AD71" s="82"/>
      <c r="AE71" s="78"/>
      <c r="AH71"/>
    </row>
    <row r="72" spans="2:34" s="71" customFormat="1" x14ac:dyDescent="0.3">
      <c r="B72" s="107"/>
      <c r="C72" s="108">
        <v>123</v>
      </c>
      <c r="D72" s="47"/>
      <c r="E72" s="47" t="str">
        <f t="shared" si="30"/>
        <v>*CZE19980217</v>
      </c>
      <c r="F72" s="53" t="str">
        <f t="shared" si="31"/>
        <v xml:space="preserve">ŠIMŮNEK Adam </v>
      </c>
      <c r="G72" s="47"/>
      <c r="H72" s="109"/>
      <c r="J72" s="107"/>
      <c r="K72" s="108">
        <v>133</v>
      </c>
      <c r="L72" s="47"/>
      <c r="M72" s="47" t="str">
        <f t="shared" si="32"/>
        <v>*SVK19980324</v>
      </c>
      <c r="N72" s="53" t="str">
        <f t="shared" si="33"/>
        <v>KOVÁČ Milan</v>
      </c>
      <c r="O72" s="47"/>
      <c r="P72" s="109"/>
      <c r="R72" s="107"/>
      <c r="S72" s="108">
        <v>143</v>
      </c>
      <c r="T72" s="47"/>
      <c r="U72" s="47" t="str">
        <f t="shared" si="34"/>
        <v>SVK19990903*</v>
      </c>
      <c r="V72" s="53" t="str">
        <f t="shared" si="35"/>
        <v>JANUŠ Pavol</v>
      </c>
      <c r="W72" s="47"/>
      <c r="X72" s="109"/>
      <c r="Z72" s="82"/>
      <c r="AA72" s="82"/>
      <c r="AB72" s="82"/>
      <c r="AC72" s="82"/>
      <c r="AD72" s="82"/>
      <c r="AE72" s="78"/>
      <c r="AH72"/>
    </row>
    <row r="73" spans="2:34" s="71" customFormat="1" x14ac:dyDescent="0.3">
      <c r="B73" s="107"/>
      <c r="C73" s="108">
        <v>124</v>
      </c>
      <c r="D73" s="47"/>
      <c r="E73" s="47" t="str">
        <f t="shared" si="30"/>
        <v>CZE19830420</v>
      </c>
      <c r="F73" s="53" t="str">
        <f t="shared" si="31"/>
        <v xml:space="preserve">HAVLÍKOVÁ Pavla </v>
      </c>
      <c r="G73" s="47"/>
      <c r="H73" s="109"/>
      <c r="J73" s="107"/>
      <c r="K73" s="108">
        <v>134</v>
      </c>
      <c r="L73" s="47"/>
      <c r="M73" s="47" t="str">
        <f t="shared" si="32"/>
        <v>SVK19970107</v>
      </c>
      <c r="N73" s="53" t="str">
        <f t="shared" si="33"/>
        <v>JANIKOVSKÝ Lukáš</v>
      </c>
      <c r="O73" s="47"/>
      <c r="P73" s="109"/>
      <c r="R73" s="107"/>
      <c r="S73" s="108">
        <v>144</v>
      </c>
      <c r="T73" s="47"/>
      <c r="U73" s="47" t="str">
        <f t="shared" si="34"/>
        <v>*SVK19981014</v>
      </c>
      <c r="V73" s="53" t="str">
        <f t="shared" si="35"/>
        <v>PERSON Tomáš</v>
      </c>
      <c r="W73" s="47"/>
      <c r="X73" s="109"/>
      <c r="Z73" s="82"/>
      <c r="AA73" s="82"/>
      <c r="AB73" s="82"/>
      <c r="AC73" s="82"/>
      <c r="AD73" s="82"/>
      <c r="AE73" s="78"/>
      <c r="AH73"/>
    </row>
    <row r="74" spans="2:34" s="71" customFormat="1" x14ac:dyDescent="0.3">
      <c r="B74" s="107"/>
      <c r="C74" s="108">
        <v>125</v>
      </c>
      <c r="D74" s="47"/>
      <c r="E74" s="47" t="str">
        <f t="shared" si="30"/>
        <v>CZE20001207*</v>
      </c>
      <c r="F74" s="53" t="str">
        <f t="shared" si="31"/>
        <v>ČECH Martin</v>
      </c>
      <c r="G74" s="47"/>
      <c r="H74" s="109"/>
      <c r="J74" s="107"/>
      <c r="K74" s="108">
        <v>135</v>
      </c>
      <c r="L74" s="47"/>
      <c r="M74" s="47" t="str">
        <f t="shared" si="32"/>
        <v>SVK19970207</v>
      </c>
      <c r="N74" s="53" t="str">
        <f t="shared" si="33"/>
        <v>GAVENDA Miroslav</v>
      </c>
      <c r="O74" s="47"/>
      <c r="P74" s="109"/>
      <c r="R74" s="107"/>
      <c r="S74" s="108">
        <v>145</v>
      </c>
      <c r="T74" s="47"/>
      <c r="U74" s="47" t="str">
        <f t="shared" si="34"/>
        <v>*CZE19980313</v>
      </c>
      <c r="V74" s="53" t="str">
        <f t="shared" si="35"/>
        <v xml:space="preserve">CIHLÁŘ Adam </v>
      </c>
      <c r="W74" s="47"/>
      <c r="X74" s="109"/>
      <c r="Z74" s="82"/>
      <c r="AA74" s="82"/>
      <c r="AB74" s="82"/>
      <c r="AC74" s="82"/>
      <c r="AD74" s="82"/>
      <c r="AE74" s="78"/>
      <c r="AH74"/>
    </row>
    <row r="75" spans="2:34" s="71" customFormat="1" x14ac:dyDescent="0.3">
      <c r="B75" s="107"/>
      <c r="C75" s="108">
        <v>126</v>
      </c>
      <c r="D75" s="47"/>
      <c r="E75" s="47" t="str">
        <f t="shared" si="30"/>
        <v>CZE19970916</v>
      </c>
      <c r="F75" s="53" t="str">
        <f t="shared" si="31"/>
        <v xml:space="preserve">KUNT Lukáš </v>
      </c>
      <c r="G75" s="47"/>
      <c r="H75" s="109"/>
      <c r="J75" s="107"/>
      <c r="K75" s="108">
        <v>136</v>
      </c>
      <c r="L75" s="47"/>
      <c r="M75" s="47" t="str">
        <f t="shared" si="32"/>
        <v>*SVK19980617</v>
      </c>
      <c r="N75" s="53" t="str">
        <f t="shared" si="33"/>
        <v>KLÁTIK David</v>
      </c>
      <c r="O75" s="47"/>
      <c r="P75" s="109"/>
      <c r="R75" s="107"/>
      <c r="S75" s="108">
        <v>146</v>
      </c>
      <c r="T75" s="47"/>
      <c r="U75" s="47" t="str">
        <f t="shared" si="34"/>
        <v>CZE19970414</v>
      </c>
      <c r="V75" s="53" t="str">
        <f t="shared" si="35"/>
        <v xml:space="preserve">DVOŘÁK Jakub </v>
      </c>
      <c r="W75" s="47"/>
      <c r="X75" s="109"/>
      <c r="Z75" s="82"/>
      <c r="AA75" s="82"/>
      <c r="AB75" s="82"/>
      <c r="AC75" s="82"/>
      <c r="AD75" s="82"/>
      <c r="AE75" s="78"/>
      <c r="AH75"/>
    </row>
    <row r="76" spans="2:34" s="71" customFormat="1" x14ac:dyDescent="0.3">
      <c r="B76" s="107"/>
      <c r="C76" s="108">
        <v>127</v>
      </c>
      <c r="D76" s="47"/>
      <c r="E76" s="47" t="str">
        <f t="shared" si="30"/>
        <v>CZE19991001*</v>
      </c>
      <c r="F76" s="53" t="str">
        <f t="shared" si="31"/>
        <v xml:space="preserve">VANÍČEK Šimon </v>
      </c>
      <c r="G76" s="47"/>
      <c r="H76" s="109"/>
      <c r="J76" s="107"/>
      <c r="K76" s="108">
        <v>137</v>
      </c>
      <c r="L76" s="47"/>
      <c r="M76" s="47" t="str">
        <f t="shared" si="32"/>
        <v>SVK19970906</v>
      </c>
      <c r="N76" s="53" t="str">
        <f t="shared" si="33"/>
        <v>HLOŽA Michal</v>
      </c>
      <c r="O76" s="47"/>
      <c r="P76" s="109"/>
      <c r="R76" s="107"/>
      <c r="S76" s="108">
        <v>147</v>
      </c>
      <c r="T76" s="47"/>
      <c r="U76" s="47" t="str">
        <f t="shared" si="34"/>
        <v>CZE19970127</v>
      </c>
      <c r="V76" s="53" t="str">
        <f t="shared" si="35"/>
        <v xml:space="preserve">KOTOUČEK Matěj </v>
      </c>
      <c r="W76" s="47"/>
      <c r="X76" s="109"/>
      <c r="Z76" s="82"/>
      <c r="AA76" s="82"/>
      <c r="AB76" s="82"/>
      <c r="AC76" s="82"/>
      <c r="AD76" s="82"/>
      <c r="AE76" s="78"/>
      <c r="AH76"/>
    </row>
    <row r="77" spans="2:34" s="71" customFormat="1" x14ac:dyDescent="0.3">
      <c r="B77" s="107"/>
      <c r="C77" s="108"/>
      <c r="D77" s="47"/>
      <c r="E77" s="47"/>
      <c r="F77" s="53"/>
      <c r="G77" s="47"/>
      <c r="H77" s="109"/>
      <c r="J77" s="107"/>
      <c r="K77" s="108">
        <v>138</v>
      </c>
      <c r="L77" s="47"/>
      <c r="M77" s="47" t="str">
        <f t="shared" si="32"/>
        <v>POL19970608</v>
      </c>
      <c r="N77" s="53" t="str">
        <f t="shared" si="33"/>
        <v>BISKUP Bartosz</v>
      </c>
      <c r="O77" s="47"/>
      <c r="P77" s="109"/>
      <c r="R77" s="107"/>
      <c r="S77" s="108">
        <v>148</v>
      </c>
      <c r="T77" s="47"/>
      <c r="U77" s="47" t="str">
        <f t="shared" si="34"/>
        <v>CZE19970409</v>
      </c>
      <c r="V77" s="53" t="str">
        <f t="shared" si="35"/>
        <v xml:space="preserve">POTŮČEK Šimon </v>
      </c>
      <c r="W77" s="47"/>
      <c r="X77" s="109"/>
      <c r="Z77" s="82"/>
      <c r="AA77" s="82"/>
      <c r="AB77" s="82"/>
      <c r="AC77" s="82"/>
      <c r="AD77" s="82"/>
      <c r="AE77" s="78"/>
      <c r="AH77"/>
    </row>
    <row r="78" spans="2:34" s="71" customFormat="1" x14ac:dyDescent="0.3">
      <c r="B78" s="107"/>
      <c r="C78" s="108"/>
      <c r="D78" s="47"/>
      <c r="E78" s="47"/>
      <c r="F78" s="53"/>
      <c r="G78" s="47"/>
      <c r="H78" s="109"/>
      <c r="J78" s="107"/>
      <c r="K78" s="108">
        <v>139</v>
      </c>
      <c r="L78" s="47"/>
      <c r="M78" s="47" t="str">
        <f t="shared" si="32"/>
        <v>*POL19980719</v>
      </c>
      <c r="N78" s="53" t="str">
        <f t="shared" si="33"/>
        <v>NOWAK Michał</v>
      </c>
      <c r="O78" s="47"/>
      <c r="P78" s="109"/>
      <c r="R78" s="107"/>
      <c r="S78" s="108">
        <v>149</v>
      </c>
      <c r="T78" s="47"/>
      <c r="U78" s="47" t="str">
        <f t="shared" si="34"/>
        <v>*CZE19980519</v>
      </c>
      <c r="V78" s="53" t="str">
        <f t="shared" si="35"/>
        <v xml:space="preserve">VOSTREJŽ David </v>
      </c>
      <c r="W78" s="47"/>
      <c r="X78" s="109"/>
      <c r="Z78" s="82"/>
      <c r="AA78" s="82"/>
      <c r="AB78" s="82"/>
      <c r="AC78" s="82"/>
      <c r="AD78" s="82"/>
      <c r="AE78" s="78"/>
      <c r="AH78"/>
    </row>
    <row r="79" spans="2:34" s="71" customFormat="1" x14ac:dyDescent="0.3">
      <c r="B79" s="107"/>
      <c r="C79" s="108"/>
      <c r="D79" s="47"/>
      <c r="E79" s="47"/>
      <c r="F79" s="53"/>
      <c r="G79" s="47"/>
      <c r="H79" s="109"/>
      <c r="J79" s="107"/>
      <c r="K79" s="108">
        <v>140</v>
      </c>
      <c r="L79" s="47"/>
      <c r="M79" s="47" t="str">
        <f t="shared" si="32"/>
        <v>POL19970228</v>
      </c>
      <c r="N79" s="53" t="str">
        <f t="shared" si="33"/>
        <v>SKIBIŃSKI Krzysztof</v>
      </c>
      <c r="O79" s="47"/>
      <c r="P79" s="109"/>
      <c r="R79" s="107"/>
      <c r="S79" s="108">
        <v>150</v>
      </c>
      <c r="T79" s="47"/>
      <c r="U79" s="47" t="str">
        <f t="shared" si="34"/>
        <v>*CZE19980624</v>
      </c>
      <c r="V79" s="53" t="str">
        <f t="shared" si="35"/>
        <v>PRUDEK Dominik</v>
      </c>
      <c r="W79" s="47"/>
      <c r="X79" s="109"/>
      <c r="Z79" s="82"/>
      <c r="AA79" s="82"/>
      <c r="AB79" s="82"/>
      <c r="AC79" s="82"/>
      <c r="AD79" s="82"/>
      <c r="AE79" s="78"/>
      <c r="AH79"/>
    </row>
    <row r="80" spans="2:34" s="71" customFormat="1" ht="3.9" customHeight="1" x14ac:dyDescent="0.3">
      <c r="B80" s="110"/>
      <c r="C80" s="111"/>
      <c r="D80" s="112"/>
      <c r="E80" s="112"/>
      <c r="F80" s="112"/>
      <c r="G80" s="112"/>
      <c r="H80" s="113"/>
      <c r="J80" s="110"/>
      <c r="K80" s="111"/>
      <c r="L80" s="112"/>
      <c r="M80" s="112"/>
      <c r="N80" s="112"/>
      <c r="O80" s="112"/>
      <c r="P80" s="113"/>
      <c r="R80" s="110"/>
      <c r="S80" s="111"/>
      <c r="T80" s="112"/>
      <c r="U80" s="112"/>
      <c r="V80" s="112"/>
      <c r="W80" s="112"/>
      <c r="X80" s="113"/>
      <c r="Z80" s="82"/>
      <c r="AA80" s="82"/>
      <c r="AB80" s="82"/>
      <c r="AC80" s="82"/>
      <c r="AD80" s="82"/>
      <c r="AE80" s="78"/>
      <c r="AH80"/>
    </row>
    <row r="81" spans="2:34" s="57" customFormat="1" ht="9" customHeight="1" x14ac:dyDescent="0.3">
      <c r="B81" s="114"/>
      <c r="C81" s="115"/>
      <c r="D81" s="114"/>
      <c r="E81" s="116"/>
      <c r="F81" s="114"/>
      <c r="G81" s="114"/>
      <c r="H81" s="114"/>
      <c r="J81" s="114"/>
      <c r="K81" s="115"/>
      <c r="L81" s="114"/>
      <c r="M81" s="116"/>
      <c r="N81" s="114"/>
      <c r="O81" s="114"/>
      <c r="P81" s="114"/>
      <c r="R81" s="114"/>
      <c r="S81" s="115"/>
      <c r="T81" s="114"/>
      <c r="U81" s="116"/>
      <c r="V81" s="114"/>
      <c r="W81" s="114"/>
      <c r="X81" s="114"/>
      <c r="Z81" s="82"/>
      <c r="AA81" s="82"/>
      <c r="AB81" s="82"/>
      <c r="AC81" s="82"/>
      <c r="AD81" s="82"/>
      <c r="AE81" s="78"/>
      <c r="AH81"/>
    </row>
    <row r="82" spans="2:34" ht="3.9" customHeight="1" x14ac:dyDescent="0.3">
      <c r="B82" s="83"/>
      <c r="C82" s="84"/>
      <c r="D82" s="85"/>
      <c r="E82" s="86"/>
      <c r="F82" s="85"/>
      <c r="G82" s="85"/>
      <c r="H82" s="87"/>
      <c r="J82" s="83"/>
      <c r="K82" s="84"/>
      <c r="L82" s="85"/>
      <c r="M82" s="86"/>
      <c r="N82" s="85"/>
      <c r="O82" s="85"/>
      <c r="P82" s="87"/>
      <c r="R82" s="83"/>
      <c r="S82" s="84"/>
      <c r="T82" s="85"/>
      <c r="U82" s="86"/>
      <c r="V82" s="85"/>
      <c r="W82" s="85"/>
      <c r="X82" s="87"/>
      <c r="Z82" s="82"/>
      <c r="AA82" s="82"/>
      <c r="AB82" s="82"/>
      <c r="AC82" s="82"/>
      <c r="AD82" s="82"/>
      <c r="AH82"/>
    </row>
    <row r="83" spans="2:34" s="93" customFormat="1" x14ac:dyDescent="0.3">
      <c r="B83" s="88"/>
      <c r="C83" s="89" t="s">
        <v>218</v>
      </c>
      <c r="D83" s="89"/>
      <c r="E83" s="90" t="str">
        <f>VLOOKUP(C83,$AA$8:$AB$25,2,0)</f>
        <v>MIX7 - RLM WIEN</v>
      </c>
      <c r="F83" s="91"/>
      <c r="G83" s="89" t="str">
        <f>VLOOKUP(C83,$AA:$AC,3,0)</f>
        <v>AUT</v>
      </c>
      <c r="H83" s="92"/>
      <c r="I83" s="71"/>
      <c r="J83" s="88"/>
      <c r="K83" s="89" t="s">
        <v>280</v>
      </c>
      <c r="L83" s="89"/>
      <c r="M83" s="90" t="str">
        <f>VLOOKUP(K83,$AA$8:$AB$25,2,0)</f>
        <v>LRV STEIERMARK</v>
      </c>
      <c r="N83" s="91"/>
      <c r="O83" s="89" t="str">
        <f>VLOOKUP(K83,$AA:$AC,3,0)</f>
        <v>AUT</v>
      </c>
      <c r="P83" s="92"/>
      <c r="Q83" s="71"/>
      <c r="R83" s="88"/>
      <c r="S83" s="89" t="s">
        <v>214</v>
      </c>
      <c r="T83" s="89"/>
      <c r="U83" s="90" t="str">
        <f>VLOOKUP(S83,$AA$8:$AB$25,2,0)</f>
        <v xml:space="preserve">MIX8 - SKP DUHA FORT LANŠKROUN </v>
      </c>
      <c r="V83" s="91"/>
      <c r="W83" s="89" t="str">
        <f>VLOOKUP(S83,$AA:$AC,3,0)</f>
        <v>CZE</v>
      </c>
      <c r="X83" s="92"/>
      <c r="Z83" s="82"/>
      <c r="AA83" s="82"/>
      <c r="AB83" s="82"/>
      <c r="AC83" s="82"/>
      <c r="AD83" s="82"/>
      <c r="AE83" s="78"/>
      <c r="AH83"/>
    </row>
    <row r="84" spans="2:34" s="100" customFormat="1" ht="12.9" customHeight="1" x14ac:dyDescent="0.3">
      <c r="B84" s="94"/>
      <c r="C84" s="95"/>
      <c r="D84" s="96"/>
      <c r="E84" s="97"/>
      <c r="F84" s="117"/>
      <c r="G84" s="117"/>
      <c r="H84" s="99"/>
      <c r="J84" s="94"/>
      <c r="K84" s="101"/>
      <c r="L84" s="102"/>
      <c r="M84" s="103"/>
      <c r="N84" s="105"/>
      <c r="O84" s="105"/>
      <c r="P84" s="99"/>
      <c r="R84" s="94"/>
      <c r="S84" s="101"/>
      <c r="T84" s="102"/>
      <c r="U84" s="103"/>
      <c r="V84" s="105"/>
      <c r="W84" s="105"/>
      <c r="X84" s="99"/>
      <c r="Z84" s="106"/>
      <c r="AA84" s="106"/>
      <c r="AB84" s="106"/>
      <c r="AC84" s="106"/>
      <c r="AD84" s="106"/>
      <c r="AE84" s="78"/>
      <c r="AH84"/>
    </row>
    <row r="85" spans="2:34" s="71" customFormat="1" x14ac:dyDescent="0.3">
      <c r="B85" s="107"/>
      <c r="C85" s="108">
        <v>151</v>
      </c>
      <c r="D85" s="47"/>
      <c r="E85" s="47" t="str">
        <f t="shared" ref="E85:E94" si="36">VLOOKUP(C85,STARTOVKA,2,0)</f>
        <v>POL19990406*</v>
      </c>
      <c r="F85" s="53" t="str">
        <f t="shared" ref="F85:F94" si="37">VLOOKUP(C85,STARTOVKA,3,0)</f>
        <v>MANOWSKI Mateusz</v>
      </c>
      <c r="G85" s="47"/>
      <c r="H85" s="109"/>
      <c r="J85" s="107"/>
      <c r="K85" s="108">
        <v>161</v>
      </c>
      <c r="L85" s="47"/>
      <c r="M85" s="47" t="str">
        <f t="shared" ref="M85:M91" si="38">VLOOKUP(K85,STARTOVKA,2,0)</f>
        <v>*AUT19980216</v>
      </c>
      <c r="N85" s="53" t="str">
        <f t="shared" ref="N85:N91" si="39">VLOOKUP(K85,STARTOVKA,3,0)</f>
        <v>FRIEDRICH Marco</v>
      </c>
      <c r="O85" s="47"/>
      <c r="P85" s="109"/>
      <c r="R85" s="107"/>
      <c r="S85" s="108">
        <v>191</v>
      </c>
      <c r="T85" s="47"/>
      <c r="U85" s="47" t="str">
        <f t="shared" ref="U85:U92" si="40">VLOOKUP(S85,STARTOVKA,2,0)</f>
        <v>CZE19990916*</v>
      </c>
      <c r="V85" s="53" t="str">
        <f t="shared" ref="V85:V92" si="41">VLOOKUP(S85,STARTOVKA,3,0)</f>
        <v xml:space="preserve">HAUF Jan </v>
      </c>
      <c r="W85" s="47"/>
      <c r="X85" s="109"/>
      <c r="Z85" s="82"/>
      <c r="AA85" s="82"/>
      <c r="AB85" s="82"/>
      <c r="AC85" s="82"/>
      <c r="AD85" s="82"/>
      <c r="AE85" s="78"/>
      <c r="AH85"/>
    </row>
    <row r="86" spans="2:34" s="71" customFormat="1" x14ac:dyDescent="0.3">
      <c r="B86" s="107"/>
      <c r="C86" s="108">
        <v>152</v>
      </c>
      <c r="D86" s="47"/>
      <c r="E86" s="47" t="str">
        <f t="shared" si="36"/>
        <v>POL20000206*</v>
      </c>
      <c r="F86" s="53" t="str">
        <f t="shared" si="37"/>
        <v>WENGLORZ Michał</v>
      </c>
      <c r="G86" s="47"/>
      <c r="H86" s="109"/>
      <c r="J86" s="107"/>
      <c r="K86" s="108">
        <v>162</v>
      </c>
      <c r="L86" s="47"/>
      <c r="M86" s="47" t="str">
        <f t="shared" si="38"/>
        <v>AUT19970327</v>
      </c>
      <c r="N86" s="53" t="str">
        <f t="shared" si="39"/>
        <v>GURSCH Georg</v>
      </c>
      <c r="O86" s="47"/>
      <c r="P86" s="109"/>
      <c r="R86" s="107"/>
      <c r="S86" s="108">
        <v>192</v>
      </c>
      <c r="T86" s="47"/>
      <c r="U86" s="47" t="str">
        <f t="shared" si="40"/>
        <v>CZE20000704*</v>
      </c>
      <c r="V86" s="53" t="str">
        <f t="shared" si="41"/>
        <v xml:space="preserve">MICHAL Daniel </v>
      </c>
      <c r="W86" s="47"/>
      <c r="X86" s="109"/>
      <c r="Z86" s="82"/>
      <c r="AA86" s="82"/>
      <c r="AB86" s="82"/>
      <c r="AC86" s="82"/>
      <c r="AD86" s="82"/>
      <c r="AE86" s="78"/>
      <c r="AH86"/>
    </row>
    <row r="87" spans="2:34" s="71" customFormat="1" x14ac:dyDescent="0.3">
      <c r="B87" s="107"/>
      <c r="C87" s="108">
        <v>153</v>
      </c>
      <c r="D87" s="47"/>
      <c r="E87" s="47" t="str">
        <f t="shared" si="36"/>
        <v>AUT19971210</v>
      </c>
      <c r="F87" s="53" t="str">
        <f t="shared" si="37"/>
        <v>APPELTAUER Samuel</v>
      </c>
      <c r="G87" s="47"/>
      <c r="H87" s="109"/>
      <c r="J87" s="107"/>
      <c r="K87" s="108">
        <v>163</v>
      </c>
      <c r="L87" s="47"/>
      <c r="M87" s="47" t="str">
        <f t="shared" si="38"/>
        <v>*AUT19980813</v>
      </c>
      <c r="N87" s="53" t="str">
        <f t="shared" si="39"/>
        <v>IRENDORFER Moritz</v>
      </c>
      <c r="O87" s="47"/>
      <c r="P87" s="109"/>
      <c r="R87" s="107"/>
      <c r="S87" s="108">
        <v>193</v>
      </c>
      <c r="T87" s="47"/>
      <c r="U87" s="47" t="str">
        <f t="shared" si="40"/>
        <v>CZE20000328*</v>
      </c>
      <c r="V87" s="53" t="str">
        <f t="shared" si="41"/>
        <v xml:space="preserve">ROTTER Michal </v>
      </c>
      <c r="W87" s="47"/>
      <c r="X87" s="109"/>
      <c r="Z87" s="82"/>
      <c r="AA87" s="82"/>
      <c r="AB87" s="82"/>
      <c r="AC87" s="82"/>
      <c r="AD87" s="82"/>
      <c r="AE87" s="78"/>
      <c r="AH87"/>
    </row>
    <row r="88" spans="2:34" s="71" customFormat="1" x14ac:dyDescent="0.3">
      <c r="B88" s="107"/>
      <c r="C88" s="108">
        <v>154</v>
      </c>
      <c r="D88" s="47"/>
      <c r="E88" s="47" t="str">
        <f t="shared" si="36"/>
        <v>*AUT19980711</v>
      </c>
      <c r="F88" s="53" t="str">
        <f t="shared" si="37"/>
        <v>EDELBAUER Tobias</v>
      </c>
      <c r="G88" s="47"/>
      <c r="H88" s="109"/>
      <c r="J88" s="107"/>
      <c r="K88" s="108">
        <v>164</v>
      </c>
      <c r="L88" s="47"/>
      <c r="M88" s="47" t="str">
        <f t="shared" si="38"/>
        <v>AUT19971207</v>
      </c>
      <c r="N88" s="53" t="str">
        <f t="shared" si="39"/>
        <v>MOSER Max</v>
      </c>
      <c r="O88" s="47"/>
      <c r="P88" s="109"/>
      <c r="R88" s="107"/>
      <c r="S88" s="108">
        <v>194</v>
      </c>
      <c r="T88" s="47"/>
      <c r="U88" s="47" t="str">
        <f t="shared" si="40"/>
        <v>CZE20001026*</v>
      </c>
      <c r="V88" s="53" t="str">
        <f t="shared" si="41"/>
        <v>ANDRLE David</v>
      </c>
      <c r="W88" s="47"/>
      <c r="X88" s="109"/>
      <c r="Z88" s="82"/>
      <c r="AA88" s="82"/>
      <c r="AB88" s="82"/>
      <c r="AC88" s="82"/>
      <c r="AD88" s="82"/>
      <c r="AE88" s="78"/>
      <c r="AH88"/>
    </row>
    <row r="89" spans="2:34" s="71" customFormat="1" x14ac:dyDescent="0.3">
      <c r="B89" s="107"/>
      <c r="C89" s="108">
        <v>155</v>
      </c>
      <c r="D89" s="47"/>
      <c r="E89" s="47" t="str">
        <f t="shared" si="36"/>
        <v>AUT19971224</v>
      </c>
      <c r="F89" s="53" t="str">
        <f t="shared" si="37"/>
        <v>GRASL Patrick</v>
      </c>
      <c r="G89" s="47"/>
      <c r="H89" s="109"/>
      <c r="J89" s="107"/>
      <c r="K89" s="108">
        <v>165</v>
      </c>
      <c r="L89" s="47"/>
      <c r="M89" s="47" t="str">
        <f t="shared" si="38"/>
        <v>AUT19970502</v>
      </c>
      <c r="N89" s="53" t="str">
        <f t="shared" si="39"/>
        <v>RECKENDORFER Lukas</v>
      </c>
      <c r="O89" s="47"/>
      <c r="P89" s="109"/>
      <c r="R89" s="107"/>
      <c r="S89" s="108">
        <v>195</v>
      </c>
      <c r="T89" s="47"/>
      <c r="U89" s="47" t="str">
        <f t="shared" si="40"/>
        <v>CZE19991006*</v>
      </c>
      <c r="V89" s="53" t="str">
        <f t="shared" si="41"/>
        <v>DUS Albert</v>
      </c>
      <c r="W89" s="47"/>
      <c r="X89" s="109"/>
      <c r="Z89" s="82"/>
      <c r="AA89" s="82"/>
      <c r="AB89" s="82"/>
      <c r="AC89" s="82"/>
      <c r="AD89" s="82"/>
      <c r="AE89" s="78"/>
      <c r="AH89"/>
    </row>
    <row r="90" spans="2:34" s="71" customFormat="1" x14ac:dyDescent="0.3">
      <c r="B90" s="107"/>
      <c r="C90" s="108">
        <v>156</v>
      </c>
      <c r="D90" s="47"/>
      <c r="E90" s="47" t="str">
        <f t="shared" si="36"/>
        <v>AUT19971004</v>
      </c>
      <c r="F90" s="53" t="str">
        <f t="shared" si="37"/>
        <v>GRUBER Julian</v>
      </c>
      <c r="G90" s="47"/>
      <c r="H90" s="109"/>
      <c r="J90" s="107"/>
      <c r="K90" s="108">
        <v>166</v>
      </c>
      <c r="L90" s="47"/>
      <c r="M90" s="47" t="str">
        <f t="shared" si="38"/>
        <v>AUT19971029</v>
      </c>
      <c r="N90" s="53" t="str">
        <f t="shared" si="39"/>
        <v>WAIBEL Christian</v>
      </c>
      <c r="O90" s="47"/>
      <c r="P90" s="109"/>
      <c r="R90" s="107"/>
      <c r="S90" s="108">
        <v>196</v>
      </c>
      <c r="T90" s="47"/>
      <c r="U90" s="47" t="str">
        <f t="shared" si="40"/>
        <v>CZE19991009*</v>
      </c>
      <c r="V90" s="53" t="str">
        <f t="shared" si="41"/>
        <v xml:space="preserve">HOLFEUER Dan </v>
      </c>
      <c r="W90" s="47"/>
      <c r="X90" s="109"/>
      <c r="Z90" s="82"/>
      <c r="AA90" s="82"/>
      <c r="AB90" s="82"/>
      <c r="AC90" s="82"/>
      <c r="AD90" s="82"/>
      <c r="AE90" s="78"/>
      <c r="AH90"/>
    </row>
    <row r="91" spans="2:34" s="71" customFormat="1" x14ac:dyDescent="0.3">
      <c r="B91" s="107"/>
      <c r="C91" s="108">
        <v>157</v>
      </c>
      <c r="D91" s="47"/>
      <c r="E91" s="47" t="str">
        <f t="shared" si="36"/>
        <v>*AUT19981224</v>
      </c>
      <c r="F91" s="53" t="str">
        <f t="shared" si="37"/>
        <v>STIDL Timo</v>
      </c>
      <c r="G91" s="47"/>
      <c r="H91" s="109"/>
      <c r="J91" s="107"/>
      <c r="K91" s="108">
        <v>167</v>
      </c>
      <c r="L91" s="47"/>
      <c r="M91" s="47" t="str">
        <f t="shared" si="38"/>
        <v>AUT19970406</v>
      </c>
      <c r="N91" s="53" t="str">
        <f t="shared" si="39"/>
        <v>WINTER Stefan</v>
      </c>
      <c r="O91" s="47"/>
      <c r="P91" s="109"/>
      <c r="R91" s="107"/>
      <c r="S91" s="108">
        <v>197</v>
      </c>
      <c r="T91" s="47"/>
      <c r="U91" s="47" t="str">
        <f t="shared" si="40"/>
        <v>*CZE19980830</v>
      </c>
      <c r="V91" s="53" t="str">
        <f t="shared" si="41"/>
        <v xml:space="preserve">PARMA Dominik </v>
      </c>
      <c r="W91" s="47"/>
      <c r="X91" s="109"/>
      <c r="Z91" s="82"/>
      <c r="AA91" s="82"/>
      <c r="AB91" s="82"/>
      <c r="AC91" s="82"/>
      <c r="AD91" s="82"/>
      <c r="AE91" s="78"/>
      <c r="AH91"/>
    </row>
    <row r="92" spans="2:34" s="71" customFormat="1" x14ac:dyDescent="0.3">
      <c r="B92" s="107"/>
      <c r="C92" s="108">
        <v>158</v>
      </c>
      <c r="D92" s="47"/>
      <c r="E92" s="47" t="str">
        <f t="shared" si="36"/>
        <v>POL19971016</v>
      </c>
      <c r="F92" s="53" t="str">
        <f t="shared" si="37"/>
        <v>KUKLEWICZ Karol</v>
      </c>
      <c r="G92" s="47"/>
      <c r="H92" s="109"/>
      <c r="J92" s="107"/>
      <c r="K92" s="108"/>
      <c r="L92" s="47"/>
      <c r="M92" s="47"/>
      <c r="N92" s="53"/>
      <c r="O92" s="47"/>
      <c r="P92" s="109"/>
      <c r="R92" s="107"/>
      <c r="S92" s="108">
        <v>198</v>
      </c>
      <c r="T92" s="47"/>
      <c r="U92" s="47" t="str">
        <f t="shared" si="40"/>
        <v>SVK19991205*</v>
      </c>
      <c r="V92" s="53" t="str">
        <f t="shared" si="41"/>
        <v>VRANKO Daniel</v>
      </c>
      <c r="W92" s="47"/>
      <c r="X92" s="109"/>
      <c r="Z92" s="82"/>
      <c r="AA92" s="82"/>
      <c r="AB92" s="82"/>
      <c r="AC92" s="82"/>
      <c r="AD92" s="82"/>
      <c r="AE92" s="78"/>
      <c r="AH92"/>
    </row>
    <row r="93" spans="2:34" s="71" customFormat="1" x14ac:dyDescent="0.3">
      <c r="B93" s="107"/>
      <c r="C93" s="108">
        <v>159</v>
      </c>
      <c r="D93" s="47"/>
      <c r="E93" s="47" t="str">
        <f t="shared" si="36"/>
        <v>POL19990202*</v>
      </c>
      <c r="F93" s="53" t="str">
        <f t="shared" si="37"/>
        <v>KUŚ Adam</v>
      </c>
      <c r="G93" s="47"/>
      <c r="H93" s="109"/>
      <c r="J93" s="107"/>
      <c r="K93" s="108"/>
      <c r="L93" s="47"/>
      <c r="M93" s="47"/>
      <c r="N93" s="53"/>
      <c r="O93" s="47"/>
      <c r="P93" s="109"/>
      <c r="R93" s="107"/>
      <c r="S93" s="108"/>
      <c r="T93" s="47"/>
      <c r="U93" s="47"/>
      <c r="V93" s="53"/>
      <c r="W93" s="47"/>
      <c r="X93" s="109"/>
      <c r="Z93" s="82"/>
      <c r="AA93" s="82"/>
      <c r="AB93" s="82"/>
      <c r="AC93" s="82"/>
      <c r="AD93" s="82"/>
      <c r="AE93" s="78"/>
      <c r="AH93"/>
    </row>
    <row r="94" spans="2:34" s="71" customFormat="1" x14ac:dyDescent="0.3">
      <c r="B94" s="107"/>
      <c r="C94" s="108">
        <v>160</v>
      </c>
      <c r="D94" s="47"/>
      <c r="E94" s="47" t="str">
        <f t="shared" si="36"/>
        <v>*POL19980509</v>
      </c>
      <c r="F94" s="53" t="str">
        <f t="shared" si="37"/>
        <v>WŁODARCZYK Damian</v>
      </c>
      <c r="G94" s="47"/>
      <c r="H94" s="109"/>
      <c r="J94" s="107"/>
      <c r="K94" s="108"/>
      <c r="L94" s="47"/>
      <c r="M94" s="47"/>
      <c r="N94" s="53"/>
      <c r="O94" s="47"/>
      <c r="P94" s="109"/>
      <c r="R94" s="107"/>
      <c r="S94" s="108"/>
      <c r="T94" s="47"/>
      <c r="U94" s="47"/>
      <c r="V94" s="53"/>
      <c r="W94" s="47"/>
      <c r="X94" s="109"/>
      <c r="Z94" s="82"/>
      <c r="AA94" s="82"/>
      <c r="AB94" s="82"/>
      <c r="AC94" s="82"/>
      <c r="AD94" s="82"/>
      <c r="AE94" s="78"/>
      <c r="AH94"/>
    </row>
    <row r="95" spans="2:34" s="71" customFormat="1" ht="3.9" customHeight="1" x14ac:dyDescent="0.3">
      <c r="B95" s="110"/>
      <c r="C95" s="111"/>
      <c r="D95" s="112"/>
      <c r="E95" s="112"/>
      <c r="F95" s="112"/>
      <c r="G95" s="112"/>
      <c r="H95" s="113"/>
      <c r="J95" s="110"/>
      <c r="K95" s="111"/>
      <c r="L95" s="112"/>
      <c r="M95" s="112"/>
      <c r="N95" s="112"/>
      <c r="O95" s="112"/>
      <c r="P95" s="113"/>
      <c r="R95" s="110"/>
      <c r="S95" s="111"/>
      <c r="T95" s="112"/>
      <c r="U95" s="112"/>
      <c r="V95" s="112"/>
      <c r="W95" s="112"/>
      <c r="X95" s="113"/>
      <c r="Z95" s="82"/>
      <c r="AA95" s="82"/>
      <c r="AB95" s="82"/>
      <c r="AC95" s="82"/>
      <c r="AD95" s="82"/>
      <c r="AE95" s="78"/>
      <c r="AH95"/>
    </row>
    <row r="96" spans="2:34" x14ac:dyDescent="0.3">
      <c r="AH96"/>
    </row>
    <row r="97" spans="34:34" x14ac:dyDescent="0.3">
      <c r="AH97"/>
    </row>
    <row r="98" spans="34:34" x14ac:dyDescent="0.3">
      <c r="AH98"/>
    </row>
    <row r="99" spans="34:34" x14ac:dyDescent="0.3">
      <c r="AH99"/>
    </row>
  </sheetData>
  <sortState ref="AA9:AD26">
    <sortCondition ref="AA8"/>
  </sortState>
  <mergeCells count="4">
    <mergeCell ref="B1:X1"/>
    <mergeCell ref="B2:X2"/>
    <mergeCell ref="G3:S3"/>
    <mergeCell ref="B5:X5"/>
  </mergeCells>
  <printOptions horizontalCentered="1"/>
  <pageMargins left="0.39370078740157483" right="0.39370078740157483" top="0.39370078740157483" bottom="0.31496062992125984" header="0.23622047244094491" footer="0.19685039370078741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6"/>
  <sheetViews>
    <sheetView zoomScaleNormal="100" workbookViewId="0">
      <selection sqref="A1:K1"/>
    </sheetView>
  </sheetViews>
  <sheetFormatPr defaultColWidth="8.88671875" defaultRowHeight="13.8" x14ac:dyDescent="0.3"/>
  <cols>
    <col min="1" max="1" width="5.6640625" style="3" customWidth="1"/>
    <col min="2" max="2" width="7.33203125" style="3" customWidth="1"/>
    <col min="3" max="3" width="14" style="36" customWidth="1"/>
    <col min="4" max="4" width="25.109375" style="3" customWidth="1"/>
    <col min="5" max="5" width="34.44140625" style="3" customWidth="1"/>
    <col min="6" max="6" width="9" style="3" customWidth="1"/>
    <col min="7" max="7" width="7.33203125" style="3" customWidth="1"/>
    <col min="8" max="8" width="9" style="3" customWidth="1"/>
    <col min="9" max="9" width="11.5546875" style="3" customWidth="1"/>
    <col min="10" max="10" width="10" style="3" customWidth="1"/>
    <col min="11" max="11" width="4.44140625" style="3" customWidth="1"/>
    <col min="12" max="12" width="8.44140625" style="18" customWidth="1"/>
    <col min="13" max="16384" width="8.88671875" style="18"/>
  </cols>
  <sheetData>
    <row r="1" spans="1:11" s="3" customFormat="1" ht="33.75" customHeight="1" x14ac:dyDescent="0.3">
      <c r="A1" s="336" t="str">
        <f>CTRL!B7</f>
        <v>R E G I O N E M   O R L I C K A   L A N Š K R O U N   2 0 1 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s="3" customFormat="1" ht="15.6" x14ac:dyDescent="0.3">
      <c r="A2" s="337" t="str">
        <f>CTRL!B8</f>
        <v>29. ročník mezinárodního cyklistického závodu juniorů / 29th edition of international cycling race of juniors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</row>
    <row r="3" spans="1:11" s="3" customFormat="1" ht="18" x14ac:dyDescent="0.35">
      <c r="A3" s="30" t="str">
        <f ca="1">MID(CELL("filename",A1),FIND("]",CELL("filename",A1))+1,256)</f>
        <v>SL2</v>
      </c>
      <c r="C3" s="36"/>
      <c r="D3" s="338" t="str">
        <f ca="1">INDIRECT("NAZE"&amp;(RIGHT(A3,1)))</f>
        <v>2. etapa / 2nd Stage</v>
      </c>
      <c r="E3" s="338"/>
      <c r="F3" s="338"/>
      <c r="G3" s="338"/>
      <c r="H3" s="338"/>
      <c r="I3" s="58"/>
      <c r="K3" s="59" t="str">
        <f>"Com.no.: 11/" &amp; CTRL!B27</f>
        <v>Com.no.: 11/33</v>
      </c>
    </row>
    <row r="4" spans="1:11" s="3" customFormat="1" x14ac:dyDescent="0.3">
      <c r="A4" s="120" t="str">
        <f ca="1">"Datum / Date: "&amp;TEXT(INDIRECT("DATUM"&amp;(RIGHT(A3,1))),"dd.mm.rrrr")</f>
        <v>Datum / Date: 08.08.2015</v>
      </c>
      <c r="C4" s="36"/>
      <c r="K4" s="62" t="str">
        <f>"Místo konání / Place: "&amp;CTRL!C18&amp;""</f>
        <v>Místo konání / Place: Lanškroun (CZE)</v>
      </c>
    </row>
    <row r="5" spans="1:11" s="3" customFormat="1" ht="21" x14ac:dyDescent="0.3">
      <c r="A5" s="339" t="str">
        <f>SLIST</f>
        <v>Startovní listina / Start list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</row>
    <row r="6" spans="1:11" s="3" customFormat="1" ht="9" customHeight="1" x14ac:dyDescent="0.3">
      <c r="C6" s="36"/>
    </row>
    <row r="7" spans="1:11" s="3" customFormat="1" x14ac:dyDescent="0.3">
      <c r="A7" s="37" t="s">
        <v>0</v>
      </c>
      <c r="B7" s="37" t="s">
        <v>1</v>
      </c>
      <c r="C7" s="37" t="s">
        <v>2</v>
      </c>
      <c r="D7" s="37" t="s">
        <v>3</v>
      </c>
      <c r="E7" s="37" t="s">
        <v>4</v>
      </c>
      <c r="F7" s="37" t="s">
        <v>5</v>
      </c>
      <c r="G7" s="37" t="s">
        <v>48</v>
      </c>
      <c r="H7" s="37" t="s">
        <v>12</v>
      </c>
      <c r="I7" s="37" t="s">
        <v>118</v>
      </c>
      <c r="J7" s="37" t="s">
        <v>27</v>
      </c>
      <c r="K7" s="37"/>
    </row>
    <row r="8" spans="1:11" s="3" customFormat="1" x14ac:dyDescent="0.3">
      <c r="A8" s="38" t="s">
        <v>6</v>
      </c>
      <c r="B8" s="38" t="s">
        <v>7</v>
      </c>
      <c r="C8" s="38" t="s">
        <v>8</v>
      </c>
      <c r="D8" s="38" t="s">
        <v>9</v>
      </c>
      <c r="E8" s="38" t="s">
        <v>14</v>
      </c>
      <c r="F8" s="38" t="s">
        <v>10</v>
      </c>
      <c r="G8" s="38" t="s">
        <v>49</v>
      </c>
      <c r="H8" s="38" t="s">
        <v>11</v>
      </c>
      <c r="I8" s="38" t="s">
        <v>119</v>
      </c>
      <c r="J8" s="38" t="s">
        <v>41</v>
      </c>
      <c r="K8" s="38"/>
    </row>
    <row r="9" spans="1:11" s="3" customFormat="1" ht="8.25" customHeight="1" thickBot="1" x14ac:dyDescent="0.35">
      <c r="C9" s="36"/>
    </row>
    <row r="10" spans="1:11" s="3" customFormat="1" ht="14.25" customHeight="1" x14ac:dyDescent="0.3">
      <c r="A10" s="341"/>
      <c r="B10" s="341"/>
      <c r="C10" s="341"/>
      <c r="D10" s="341"/>
      <c r="E10" s="341"/>
      <c r="F10" s="341"/>
      <c r="G10" s="341"/>
      <c r="H10" s="341"/>
      <c r="I10" s="341"/>
      <c r="J10" s="341"/>
      <c r="K10" s="341"/>
    </row>
    <row r="11" spans="1:11" s="3" customFormat="1" ht="14.4" x14ac:dyDescent="0.3">
      <c r="A11" s="63" t="str">
        <f xml:space="preserve"> "Délka / Distance: " &amp; CTRL!B3 &amp; " km"</f>
        <v>Délka / Distance: 10 km</v>
      </c>
      <c r="B11" s="64"/>
      <c r="C11" s="64"/>
      <c r="D11" s="64"/>
      <c r="E11" s="65"/>
      <c r="F11" s="65"/>
      <c r="G11" s="65"/>
      <c r="H11" s="65"/>
      <c r="I11" s="65"/>
      <c r="J11" s="65"/>
      <c r="K11" s="65"/>
    </row>
    <row r="12" spans="1:11" s="127" customFormat="1" ht="15" customHeight="1" x14ac:dyDescent="0.25">
      <c r="A12" s="45">
        <v>1</v>
      </c>
      <c r="B12" s="47">
        <v>124</v>
      </c>
      <c r="C12" s="121" t="str">
        <f t="shared" ref="C12:C43" si="0">VLOOKUP(B12,STARTOVKA,2,0)</f>
        <v>CZE19830420</v>
      </c>
      <c r="D12" s="122" t="str">
        <f t="shared" ref="D12:D43" si="1">VLOOKUP(B12,STARTOVKA,3,0)</f>
        <v xml:space="preserve">HAVLÍKOVÁ Pavla </v>
      </c>
      <c r="E12" s="123" t="str">
        <f t="shared" ref="E12:E43" si="2">VLOOKUP(B12,STARTOVKA,4,0)</f>
        <v xml:space="preserve">MIX4 - YOUNG TELENET FIDEA CYCLING </v>
      </c>
      <c r="F12" s="124">
        <f t="shared" ref="F12:F43" si="3">VLOOKUP(B12,STARTOVKA,5,0)</f>
        <v>5778</v>
      </c>
      <c r="G12" s="125" t="str">
        <f t="shared" ref="G12:G43" si="4">VLOOKUP(B12,STARTOVKA,6,0)</f>
        <v xml:space="preserve">F*ELITE </v>
      </c>
      <c r="H12" s="125" t="str">
        <f t="shared" ref="H12:H43" si="5">VLOOKUP(B12,STARTOVKA,7,0)</f>
        <v>KOO</v>
      </c>
      <c r="I12" s="126">
        <v>0.375</v>
      </c>
      <c r="J12" s="70"/>
      <c r="K12" s="70"/>
    </row>
    <row r="13" spans="1:11" s="127" customFormat="1" ht="15" customHeight="1" x14ac:dyDescent="0.25">
      <c r="A13" s="45">
        <v>2</v>
      </c>
      <c r="B13" s="47">
        <v>196</v>
      </c>
      <c r="C13" s="121" t="str">
        <f t="shared" si="0"/>
        <v>CZE19991009*</v>
      </c>
      <c r="D13" s="122" t="str">
        <f t="shared" si="1"/>
        <v xml:space="preserve">HOLFEUER Dan </v>
      </c>
      <c r="E13" s="123" t="str">
        <f t="shared" si="2"/>
        <v xml:space="preserve">MIX8 - CK MTB MARATON HLINSKO </v>
      </c>
      <c r="F13" s="124">
        <f t="shared" si="3"/>
        <v>20258</v>
      </c>
      <c r="G13" s="125" t="str">
        <f t="shared" si="4"/>
        <v>CADET</v>
      </c>
      <c r="H13" s="125" t="str">
        <f t="shared" si="5"/>
        <v>SDL</v>
      </c>
      <c r="I13" s="126">
        <v>0.3756944444444445</v>
      </c>
      <c r="J13" s="70"/>
      <c r="K13" s="70"/>
    </row>
    <row r="14" spans="1:11" s="127" customFormat="1" ht="15" customHeight="1" x14ac:dyDescent="0.25">
      <c r="A14" s="45">
        <v>3</v>
      </c>
      <c r="B14" s="47">
        <v>191</v>
      </c>
      <c r="C14" s="121" t="str">
        <f t="shared" si="0"/>
        <v>CZE19990916*</v>
      </c>
      <c r="D14" s="122" t="str">
        <f t="shared" si="1"/>
        <v xml:space="preserve">HAUF Jan </v>
      </c>
      <c r="E14" s="123" t="str">
        <f t="shared" si="2"/>
        <v xml:space="preserve">MIX8 - SKP DUHA FORT LANŠKROUN </v>
      </c>
      <c r="F14" s="124">
        <f t="shared" si="3"/>
        <v>20687</v>
      </c>
      <c r="G14" s="125" t="str">
        <f t="shared" si="4"/>
        <v>CADET</v>
      </c>
      <c r="H14" s="125" t="str">
        <f t="shared" si="5"/>
        <v>SDL</v>
      </c>
      <c r="I14" s="126">
        <v>0.37638888888888899</v>
      </c>
      <c r="J14" s="70"/>
      <c r="K14" s="70"/>
    </row>
    <row r="15" spans="1:11" s="127" customFormat="1" ht="15" customHeight="1" x14ac:dyDescent="0.25">
      <c r="A15" s="45">
        <v>4</v>
      </c>
      <c r="B15" s="47">
        <v>195</v>
      </c>
      <c r="C15" s="121" t="str">
        <f t="shared" si="0"/>
        <v>CZE19991006*</v>
      </c>
      <c r="D15" s="122" t="str">
        <f t="shared" si="1"/>
        <v>DUS Albert</v>
      </c>
      <c r="E15" s="123" t="str">
        <f t="shared" si="2"/>
        <v xml:space="preserve">MIX8 - WHIRLPOOL AUTHOR JUNIOR TEAM </v>
      </c>
      <c r="F15" s="124">
        <f t="shared" si="3"/>
        <v>20545</v>
      </c>
      <c r="G15" s="125" t="str">
        <f t="shared" si="4"/>
        <v>CADET</v>
      </c>
      <c r="H15" s="125" t="str">
        <f t="shared" si="5"/>
        <v>SDL</v>
      </c>
      <c r="I15" s="126">
        <v>0.37708333333333299</v>
      </c>
      <c r="J15" s="70"/>
      <c r="K15" s="70"/>
    </row>
    <row r="16" spans="1:11" s="127" customFormat="1" ht="15" customHeight="1" x14ac:dyDescent="0.25">
      <c r="A16" s="45">
        <v>5</v>
      </c>
      <c r="B16" s="47">
        <v>125</v>
      </c>
      <c r="C16" s="121" t="str">
        <f t="shared" si="0"/>
        <v>CZE20001207*</v>
      </c>
      <c r="D16" s="122" t="str">
        <f t="shared" si="1"/>
        <v>ČECH Martin</v>
      </c>
      <c r="E16" s="123" t="str">
        <f t="shared" si="2"/>
        <v>MIX4 - KC KOOPERATIVA SG JABLONEC N.N</v>
      </c>
      <c r="F16" s="124">
        <f t="shared" si="3"/>
        <v>14424</v>
      </c>
      <c r="G16" s="125" t="str">
        <f t="shared" si="4"/>
        <v>CADET</v>
      </c>
      <c r="H16" s="125" t="str">
        <f t="shared" si="5"/>
        <v>KOO</v>
      </c>
      <c r="I16" s="126">
        <v>0.37777777777777799</v>
      </c>
      <c r="J16" s="70"/>
      <c r="K16" s="70"/>
    </row>
    <row r="17" spans="1:11" s="127" customFormat="1" ht="15" customHeight="1" x14ac:dyDescent="0.25">
      <c r="A17" s="45">
        <v>6</v>
      </c>
      <c r="B17" s="47">
        <v>194</v>
      </c>
      <c r="C17" s="121" t="str">
        <f t="shared" si="0"/>
        <v>CZE20001026*</v>
      </c>
      <c r="D17" s="122" t="str">
        <f t="shared" si="1"/>
        <v>ANDRLE David</v>
      </c>
      <c r="E17" s="123" t="str">
        <f t="shared" si="2"/>
        <v xml:space="preserve">MIX8 - SKP DUHA FORT LANŠKROUN </v>
      </c>
      <c r="F17" s="124">
        <f t="shared" si="3"/>
        <v>8356</v>
      </c>
      <c r="G17" s="125" t="str">
        <f t="shared" si="4"/>
        <v>CADET</v>
      </c>
      <c r="H17" s="125" t="str">
        <f t="shared" si="5"/>
        <v>SDL</v>
      </c>
      <c r="I17" s="126">
        <v>0.37847222222222199</v>
      </c>
      <c r="J17" s="70"/>
      <c r="K17" s="70"/>
    </row>
    <row r="18" spans="1:11" s="127" customFormat="1" ht="15" customHeight="1" x14ac:dyDescent="0.25">
      <c r="A18" s="45">
        <v>7</v>
      </c>
      <c r="B18" s="47">
        <v>193</v>
      </c>
      <c r="C18" s="121" t="str">
        <f>VLOOKUP(B18,STARTOVKA,2,0)</f>
        <v>CZE20000328*</v>
      </c>
      <c r="D18" s="122" t="str">
        <f>VLOOKUP(B18,STARTOVKA,3,0)</f>
        <v xml:space="preserve">ROTTER Michal </v>
      </c>
      <c r="E18" s="123" t="str">
        <f>VLOOKUP(B18,STARTOVKA,4,0)</f>
        <v xml:space="preserve">MIX8 - SKP DUHA FORT LANŠKROUN </v>
      </c>
      <c r="F18" s="124">
        <f>VLOOKUP(B18,STARTOVKA,5,0)</f>
        <v>10354</v>
      </c>
      <c r="G18" s="125" t="str">
        <f>VLOOKUP(B18,STARTOVKA,6,0)</f>
        <v>CADET</v>
      </c>
      <c r="H18" s="125" t="str">
        <f>VLOOKUP(B18,STARTOVKA,7,0)</f>
        <v>SDL</v>
      </c>
      <c r="I18" s="126">
        <v>0.37916666666666698</v>
      </c>
      <c r="J18" s="70"/>
      <c r="K18" s="70"/>
    </row>
    <row r="19" spans="1:11" s="127" customFormat="1" ht="15" customHeight="1" x14ac:dyDescent="0.25">
      <c r="A19" s="45">
        <v>8</v>
      </c>
      <c r="B19" s="47">
        <v>42</v>
      </c>
      <c r="C19" s="121" t="str">
        <f>VLOOKUP(B19,STARTOVKA,2,0)</f>
        <v>CZE19990122*</v>
      </c>
      <c r="D19" s="122" t="str">
        <f>VLOOKUP(B19,STARTOVKA,3,0)</f>
        <v xml:space="preserve">KABRHEL Milan </v>
      </c>
      <c r="E19" s="123" t="str">
        <f>VLOOKUP(B19,STARTOVKA,4,0)</f>
        <v xml:space="preserve">SKC TUFO PROSTĚJOV </v>
      </c>
      <c r="F19" s="124">
        <f>VLOOKUP(B19,STARTOVKA,5,0)</f>
        <v>3713</v>
      </c>
      <c r="G19" s="125" t="str">
        <f>VLOOKUP(B19,STARTOVKA,6,0)</f>
        <v>CADET</v>
      </c>
      <c r="H19" s="125" t="str">
        <f>VLOOKUP(B19,STARTOVKA,7,0)</f>
        <v>STP</v>
      </c>
      <c r="I19" s="126">
        <v>0.37986111111111098</v>
      </c>
      <c r="J19" s="70"/>
      <c r="K19" s="70"/>
    </row>
    <row r="20" spans="1:11" s="127" customFormat="1" ht="15" customHeight="1" x14ac:dyDescent="0.25">
      <c r="A20" s="45">
        <v>9</v>
      </c>
      <c r="B20" s="47">
        <v>142</v>
      </c>
      <c r="C20" s="121" t="str">
        <f t="shared" si="0"/>
        <v>SVK20000502*</v>
      </c>
      <c r="D20" s="122" t="str">
        <f t="shared" si="1"/>
        <v>BUČKO Adam</v>
      </c>
      <c r="E20" s="123" t="str">
        <f t="shared" si="2"/>
        <v>MIX6 - CYKLISTICKÝ SPOLOK ŽILINA</v>
      </c>
      <c r="F20" s="124" t="str">
        <f t="shared" si="3"/>
        <v>S 7046</v>
      </c>
      <c r="G20" s="125" t="str">
        <f t="shared" si="4"/>
        <v>CADET</v>
      </c>
      <c r="H20" s="125" t="str">
        <f t="shared" si="5"/>
        <v>FAV</v>
      </c>
      <c r="I20" s="126">
        <v>0.38055555555555598</v>
      </c>
      <c r="J20" s="70"/>
      <c r="K20" s="70"/>
    </row>
    <row r="21" spans="1:11" s="127" customFormat="1" ht="15" customHeight="1" x14ac:dyDescent="0.25">
      <c r="A21" s="45">
        <v>10</v>
      </c>
      <c r="B21" s="47">
        <v>96</v>
      </c>
      <c r="C21" s="121" t="str">
        <f t="shared" si="0"/>
        <v>GER19971221</v>
      </c>
      <c r="D21" s="122" t="str">
        <f t="shared" si="1"/>
        <v>BAUMANN Kian</v>
      </c>
      <c r="E21" s="123" t="str">
        <f t="shared" si="2"/>
        <v>RG BERLIN</v>
      </c>
      <c r="F21" s="124" t="str">
        <f t="shared" si="3"/>
        <v>BRE051095</v>
      </c>
      <c r="G21" s="125" t="str">
        <f t="shared" si="4"/>
        <v>JUNIOR</v>
      </c>
      <c r="H21" s="125" t="str">
        <f t="shared" si="5"/>
        <v>RGB</v>
      </c>
      <c r="I21" s="126">
        <v>0.38124999999999998</v>
      </c>
      <c r="J21" s="70"/>
      <c r="K21" s="70"/>
    </row>
    <row r="22" spans="1:11" s="127" customFormat="1" ht="15" customHeight="1" x14ac:dyDescent="0.25">
      <c r="A22" s="45">
        <v>11</v>
      </c>
      <c r="B22" s="47">
        <v>115</v>
      </c>
      <c r="C22" s="121" t="str">
        <f t="shared" si="0"/>
        <v>*CZE19980802</v>
      </c>
      <c r="D22" s="122" t="str">
        <f t="shared" si="1"/>
        <v xml:space="preserve">CHARALAMBIDIS Denis </v>
      </c>
      <c r="E22" s="123" t="str">
        <f t="shared" si="2"/>
        <v xml:space="preserve">MIX3 - CK PŘÍBRAM - FANY GASTRO </v>
      </c>
      <c r="F22" s="124">
        <f t="shared" si="3"/>
        <v>9185</v>
      </c>
      <c r="G22" s="125" t="str">
        <f t="shared" si="4"/>
        <v>JUNIOR *</v>
      </c>
      <c r="H22" s="125" t="str">
        <f t="shared" si="5"/>
        <v>CPP</v>
      </c>
      <c r="I22" s="126">
        <v>0.38194444444444497</v>
      </c>
      <c r="J22" s="70"/>
      <c r="K22" s="70"/>
    </row>
    <row r="23" spans="1:11" s="127" customFormat="1" ht="15" customHeight="1" x14ac:dyDescent="0.25">
      <c r="A23" s="45">
        <v>12</v>
      </c>
      <c r="B23" s="47">
        <v>198</v>
      </c>
      <c r="C23" s="121" t="str">
        <f t="shared" si="0"/>
        <v>SVK19991205*</v>
      </c>
      <c r="D23" s="122" t="str">
        <f t="shared" si="1"/>
        <v>VRANKO Daniel</v>
      </c>
      <c r="E23" s="123" t="str">
        <f t="shared" si="2"/>
        <v>MIX8 - CK KARPATY SMOLENICE</v>
      </c>
      <c r="F23" s="124" t="str">
        <f t="shared" si="3"/>
        <v>S 7449</v>
      </c>
      <c r="G23" s="125" t="str">
        <f t="shared" si="4"/>
        <v>CADET</v>
      </c>
      <c r="H23" s="125" t="str">
        <f t="shared" si="5"/>
        <v>SDL</v>
      </c>
      <c r="I23" s="126">
        <v>0.38263888888888897</v>
      </c>
      <c r="J23" s="70"/>
      <c r="K23" s="70"/>
    </row>
    <row r="24" spans="1:11" s="127" customFormat="1" ht="15" customHeight="1" x14ac:dyDescent="0.25">
      <c r="A24" s="45">
        <v>13</v>
      </c>
      <c r="B24" s="47">
        <v>159</v>
      </c>
      <c r="C24" s="121" t="str">
        <f t="shared" si="0"/>
        <v>POL19990202*</v>
      </c>
      <c r="D24" s="122" t="str">
        <f t="shared" si="1"/>
        <v>KUŚ Adam</v>
      </c>
      <c r="E24" s="123" t="str">
        <f t="shared" si="2"/>
        <v>MIX7 - MLKS WIELUŃ</v>
      </c>
      <c r="F24" s="124" t="str">
        <f t="shared" si="3"/>
        <v>LOD006</v>
      </c>
      <c r="G24" s="125" t="str">
        <f t="shared" si="4"/>
        <v>CADET</v>
      </c>
      <c r="H24" s="125" t="str">
        <f t="shared" si="5"/>
        <v>RLM</v>
      </c>
      <c r="I24" s="126">
        <v>0.38333333333333403</v>
      </c>
      <c r="J24" s="70"/>
      <c r="K24" s="70"/>
    </row>
    <row r="25" spans="1:11" s="127" customFormat="1" ht="15" customHeight="1" x14ac:dyDescent="0.25">
      <c r="A25" s="45">
        <v>14</v>
      </c>
      <c r="B25" s="47">
        <v>140</v>
      </c>
      <c r="C25" s="121" t="str">
        <f t="shared" si="0"/>
        <v>POL19970228</v>
      </c>
      <c r="D25" s="122" t="str">
        <f t="shared" si="1"/>
        <v>SKIBIŃSKI Krzysztof</v>
      </c>
      <c r="E25" s="123" t="str">
        <f t="shared" si="2"/>
        <v>MIX5 - DSR AUTHOR GÓRNIK WAŁBRZYCH</v>
      </c>
      <c r="F25" s="124" t="str">
        <f t="shared" si="3"/>
        <v>DLS186</v>
      </c>
      <c r="G25" s="125" t="str">
        <f t="shared" si="4"/>
        <v xml:space="preserve">JUNIOR </v>
      </c>
      <c r="H25" s="125" t="str">
        <f t="shared" si="5"/>
        <v>SGT</v>
      </c>
      <c r="I25" s="126">
        <v>0.38402777777777802</v>
      </c>
      <c r="J25" s="70"/>
      <c r="K25" s="70"/>
    </row>
    <row r="26" spans="1:11" s="127" customFormat="1" ht="15" customHeight="1" x14ac:dyDescent="0.25">
      <c r="A26" s="45">
        <v>15</v>
      </c>
      <c r="B26" s="47">
        <v>17</v>
      </c>
      <c r="C26" s="121" t="str">
        <f t="shared" si="0"/>
        <v>GER19991107*</v>
      </c>
      <c r="D26" s="122" t="str">
        <f t="shared" si="1"/>
        <v>ASCHENBRENNER Michel</v>
      </c>
      <c r="E26" s="123" t="str">
        <f t="shared" si="2"/>
        <v>THÜRINGER RADSPORT VERBAND</v>
      </c>
      <c r="F26" s="124" t="str">
        <f t="shared" si="3"/>
        <v>THÜ173666</v>
      </c>
      <c r="G26" s="125" t="str">
        <f t="shared" si="4"/>
        <v>CADET</v>
      </c>
      <c r="H26" s="125" t="str">
        <f t="shared" si="5"/>
        <v>THU</v>
      </c>
      <c r="I26" s="126">
        <v>0.38472222222222302</v>
      </c>
      <c r="J26" s="70"/>
      <c r="K26" s="70"/>
    </row>
    <row r="27" spans="1:11" s="127" customFormat="1" ht="15" customHeight="1" x14ac:dyDescent="0.25">
      <c r="A27" s="45">
        <v>16</v>
      </c>
      <c r="B27" s="47">
        <v>144</v>
      </c>
      <c r="C27" s="121" t="str">
        <f t="shared" si="0"/>
        <v>*SVK19981014</v>
      </c>
      <c r="D27" s="122" t="str">
        <f t="shared" si="1"/>
        <v>PERSON Tomáš</v>
      </c>
      <c r="E27" s="123" t="str">
        <f t="shared" si="2"/>
        <v>MIX6 - CYKLISTICKÝ SPOLOK ŽILINA</v>
      </c>
      <c r="F27" s="124" t="str">
        <f t="shared" si="3"/>
        <v>S 4322</v>
      </c>
      <c r="G27" s="125" t="str">
        <f t="shared" si="4"/>
        <v>JUNIOR *</v>
      </c>
      <c r="H27" s="125" t="str">
        <f t="shared" si="5"/>
        <v>FAV</v>
      </c>
      <c r="I27" s="126">
        <v>0.38541666666666802</v>
      </c>
      <c r="J27" s="70"/>
      <c r="K27" s="70"/>
    </row>
    <row r="28" spans="1:11" s="127" customFormat="1" ht="15" customHeight="1" x14ac:dyDescent="0.25">
      <c r="A28" s="45">
        <v>17</v>
      </c>
      <c r="B28" s="47">
        <v>19</v>
      </c>
      <c r="C28" s="121" t="str">
        <f t="shared" si="0"/>
        <v>GER19990212*</v>
      </c>
      <c r="D28" s="122" t="str">
        <f t="shared" si="1"/>
        <v>WELLENDORF Lukas</v>
      </c>
      <c r="E28" s="123" t="str">
        <f t="shared" si="2"/>
        <v>THÜRINGER RADSPORT VERBAND</v>
      </c>
      <c r="F28" s="124" t="str">
        <f t="shared" si="3"/>
        <v>THÜ173400</v>
      </c>
      <c r="G28" s="125" t="str">
        <f t="shared" si="4"/>
        <v>CADET</v>
      </c>
      <c r="H28" s="125" t="str">
        <f t="shared" si="5"/>
        <v>THU</v>
      </c>
      <c r="I28" s="126">
        <v>0.38611111111111202</v>
      </c>
      <c r="J28" s="70"/>
      <c r="K28" s="70"/>
    </row>
    <row r="29" spans="1:11" s="127" customFormat="1" ht="15" customHeight="1" x14ac:dyDescent="0.25">
      <c r="A29" s="45">
        <v>18</v>
      </c>
      <c r="B29" s="47">
        <v>55</v>
      </c>
      <c r="C29" s="121" t="str">
        <f t="shared" si="0"/>
        <v>CZE19971111</v>
      </c>
      <c r="D29" s="122" t="str">
        <f t="shared" si="1"/>
        <v>VÁVRA Marek</v>
      </c>
      <c r="E29" s="123" t="str">
        <f t="shared" si="2"/>
        <v>MIX1 - ACK STARÁ VES NAD ONDŘEJNICÍ</v>
      </c>
      <c r="F29" s="124">
        <f t="shared" si="3"/>
        <v>20625</v>
      </c>
      <c r="G29" s="125" t="str">
        <f t="shared" si="4"/>
        <v xml:space="preserve">JUNIOR </v>
      </c>
      <c r="H29" s="125" t="str">
        <f t="shared" si="5"/>
        <v>SLZ</v>
      </c>
      <c r="I29" s="126">
        <v>0.38680555555555701</v>
      </c>
      <c r="J29" s="70"/>
      <c r="K29" s="70"/>
    </row>
    <row r="30" spans="1:11" s="127" customFormat="1" ht="15" customHeight="1" x14ac:dyDescent="0.25">
      <c r="A30" s="45">
        <v>19</v>
      </c>
      <c r="B30" s="47">
        <v>119</v>
      </c>
      <c r="C30" s="121" t="str">
        <f t="shared" si="0"/>
        <v>CZE19990706*</v>
      </c>
      <c r="D30" s="122" t="str">
        <f t="shared" si="1"/>
        <v xml:space="preserve">TUHÝ Jan </v>
      </c>
      <c r="E30" s="123" t="str">
        <f t="shared" si="2"/>
        <v xml:space="preserve">MIX3 - TJ ZČE CYKLISTIKA PLZEŇ </v>
      </c>
      <c r="F30" s="124">
        <f t="shared" si="3"/>
        <v>19421</v>
      </c>
      <c r="G30" s="125" t="str">
        <f t="shared" si="4"/>
        <v>CADET</v>
      </c>
      <c r="H30" s="125" t="str">
        <f t="shared" si="5"/>
        <v>CPP</v>
      </c>
      <c r="I30" s="126">
        <v>0.38750000000000101</v>
      </c>
      <c r="J30" s="70"/>
      <c r="K30" s="70"/>
    </row>
    <row r="31" spans="1:11" s="127" customFormat="1" ht="15" customHeight="1" x14ac:dyDescent="0.25">
      <c r="A31" s="45">
        <v>20</v>
      </c>
      <c r="B31" s="47">
        <v>36</v>
      </c>
      <c r="C31" s="121" t="str">
        <f t="shared" si="0"/>
        <v>GER19990128*</v>
      </c>
      <c r="D31" s="122" t="str">
        <f t="shared" si="1"/>
        <v>KLUGE Felix</v>
      </c>
      <c r="E31" s="123" t="str">
        <f t="shared" si="2"/>
        <v>JUNIOREN SCHWALBE TEAM SACHSEN</v>
      </c>
      <c r="F31" s="124" t="str">
        <f t="shared" si="3"/>
        <v>SAC136049</v>
      </c>
      <c r="G31" s="125" t="str">
        <f t="shared" si="4"/>
        <v>CADET</v>
      </c>
      <c r="H31" s="125" t="str">
        <f t="shared" si="5"/>
        <v>SAC</v>
      </c>
      <c r="I31" s="126">
        <v>0.38819444444444601</v>
      </c>
      <c r="J31" s="70"/>
      <c r="K31" s="70"/>
    </row>
    <row r="32" spans="1:11" s="127" customFormat="1" ht="15" customHeight="1" x14ac:dyDescent="0.25">
      <c r="A32" s="45">
        <v>21</v>
      </c>
      <c r="B32" s="47">
        <v>5</v>
      </c>
      <c r="C32" s="121" t="str">
        <f t="shared" si="0"/>
        <v>*GER19980601</v>
      </c>
      <c r="D32" s="122" t="str">
        <f t="shared" si="1"/>
        <v>RUDYS Paul</v>
      </c>
      <c r="E32" s="123" t="str">
        <f t="shared" si="2"/>
        <v>RSC COTTBUS</v>
      </c>
      <c r="F32" s="124" t="str">
        <f t="shared" si="3"/>
        <v>BRA062804</v>
      </c>
      <c r="G32" s="125" t="str">
        <f t="shared" si="4"/>
        <v>JUNIOR *</v>
      </c>
      <c r="H32" s="125" t="str">
        <f t="shared" si="5"/>
        <v>COT</v>
      </c>
      <c r="I32" s="126">
        <v>0.38888888888889001</v>
      </c>
      <c r="J32" s="70"/>
      <c r="K32" s="70"/>
    </row>
    <row r="33" spans="1:11" s="127" customFormat="1" ht="15" customHeight="1" x14ac:dyDescent="0.25">
      <c r="A33" s="45">
        <v>22</v>
      </c>
      <c r="B33" s="47">
        <v>74</v>
      </c>
      <c r="C33" s="121" t="str">
        <f t="shared" si="0"/>
        <v>*CZE19980303</v>
      </c>
      <c r="D33" s="122" t="str">
        <f t="shared" si="1"/>
        <v xml:space="preserve">KOUDELA Dominik </v>
      </c>
      <c r="E33" s="123" t="str">
        <f t="shared" si="2"/>
        <v xml:space="preserve">MIX2  - TJ KOVO PRAHA </v>
      </c>
      <c r="F33" s="124">
        <f t="shared" si="3"/>
        <v>13590</v>
      </c>
      <c r="G33" s="125" t="str">
        <f t="shared" si="4"/>
        <v>JUNIOR *</v>
      </c>
      <c r="H33" s="125" t="str">
        <f t="shared" si="5"/>
        <v>KOV</v>
      </c>
      <c r="I33" s="126">
        <v>0.389583333333334</v>
      </c>
      <c r="J33" s="70"/>
      <c r="K33" s="70"/>
    </row>
    <row r="34" spans="1:11" s="127" customFormat="1" ht="15" customHeight="1" x14ac:dyDescent="0.25">
      <c r="A34" s="45">
        <v>23</v>
      </c>
      <c r="B34" s="47">
        <v>3</v>
      </c>
      <c r="C34" s="121" t="str">
        <f>VLOOKUP(B34,STARTOVKA,2,0)</f>
        <v>*GER19980825</v>
      </c>
      <c r="D34" s="122" t="str">
        <f>VLOOKUP(B34,STARTOVKA,3,0)</f>
        <v>CARMESIN Johannes</v>
      </c>
      <c r="E34" s="123" t="str">
        <f>VLOOKUP(B34,STARTOVKA,4,0)</f>
        <v>RSC COTTBUS</v>
      </c>
      <c r="F34" s="124" t="str">
        <f>VLOOKUP(B34,STARTOVKA,5,0)</f>
        <v>BRA044498</v>
      </c>
      <c r="G34" s="125" t="str">
        <f t="shared" si="4"/>
        <v>JUNIOR *</v>
      </c>
      <c r="H34" s="125" t="str">
        <f t="shared" si="5"/>
        <v>COT</v>
      </c>
      <c r="I34" s="126">
        <v>0.390277777777779</v>
      </c>
      <c r="J34" s="70"/>
      <c r="K34" s="70"/>
    </row>
    <row r="35" spans="1:11" s="127" customFormat="1" ht="15" customHeight="1" x14ac:dyDescent="0.25">
      <c r="A35" s="45">
        <v>24</v>
      </c>
      <c r="B35" s="47">
        <v>93</v>
      </c>
      <c r="C35" s="121" t="str">
        <f>VLOOKUP(B35,STARTOVKA,2,0)</f>
        <v>GER19990721*</v>
      </c>
      <c r="D35" s="122" t="str">
        <f>VLOOKUP(B35,STARTOVKA,3,0)</f>
        <v>GRABOWSKY Joe</v>
      </c>
      <c r="E35" s="123" t="str">
        <f>VLOOKUP(B35,STARTOVKA,4,0)</f>
        <v>RG BERLIN</v>
      </c>
      <c r="F35" s="124" t="str">
        <f>VLOOKUP(B35,STARTOVKA,5,0)</f>
        <v>BER035062</v>
      </c>
      <c r="G35" s="125" t="str">
        <f t="shared" si="4"/>
        <v>CADET</v>
      </c>
      <c r="H35" s="125" t="str">
        <f t="shared" si="5"/>
        <v>RGB</v>
      </c>
      <c r="I35" s="126">
        <v>0.390972222222223</v>
      </c>
      <c r="J35" s="70"/>
      <c r="K35" s="70"/>
    </row>
    <row r="36" spans="1:11" s="127" customFormat="1" ht="15" customHeight="1" x14ac:dyDescent="0.25">
      <c r="A36" s="45">
        <v>25</v>
      </c>
      <c r="B36" s="47">
        <v>7</v>
      </c>
      <c r="C36" s="121" t="str">
        <f t="shared" si="0"/>
        <v>*GER19980724</v>
      </c>
      <c r="D36" s="122" t="str">
        <f t="shared" si="1"/>
        <v>WEBER Philip</v>
      </c>
      <c r="E36" s="123" t="str">
        <f t="shared" si="2"/>
        <v>RSC COTTBUS</v>
      </c>
      <c r="F36" s="124" t="str">
        <f t="shared" si="3"/>
        <v>BRA043863</v>
      </c>
      <c r="G36" s="125" t="str">
        <f t="shared" si="4"/>
        <v>JUNIOR *</v>
      </c>
      <c r="H36" s="125" t="str">
        <f t="shared" si="5"/>
        <v>COT</v>
      </c>
      <c r="I36" s="126">
        <v>0.391666666666668</v>
      </c>
      <c r="J36" s="70"/>
      <c r="K36" s="70"/>
    </row>
    <row r="37" spans="1:11" s="127" customFormat="1" ht="15" customHeight="1" x14ac:dyDescent="0.25">
      <c r="A37" s="45">
        <v>26</v>
      </c>
      <c r="B37" s="47">
        <v>40</v>
      </c>
      <c r="C37" s="121" t="str">
        <f t="shared" si="0"/>
        <v>GER19991106*</v>
      </c>
      <c r="D37" s="122" t="str">
        <f t="shared" si="1"/>
        <v>ZUGEHÖR Anton</v>
      </c>
      <c r="E37" s="123" t="str">
        <f t="shared" si="2"/>
        <v>JUNIOREN SCHWALBE TEAM SACHSEN</v>
      </c>
      <c r="F37" s="124" t="str">
        <f t="shared" si="3"/>
        <v>SAC142235</v>
      </c>
      <c r="G37" s="125" t="str">
        <f t="shared" si="4"/>
        <v>CADET</v>
      </c>
      <c r="H37" s="125" t="str">
        <f t="shared" si="5"/>
        <v>SAC</v>
      </c>
      <c r="I37" s="126">
        <v>0.39236111111111199</v>
      </c>
      <c r="J37" s="70"/>
      <c r="K37" s="70"/>
    </row>
    <row r="38" spans="1:11" s="127" customFormat="1" ht="15" customHeight="1" x14ac:dyDescent="0.25">
      <c r="A38" s="45">
        <v>27</v>
      </c>
      <c r="B38" s="47">
        <v>116</v>
      </c>
      <c r="C38" s="121" t="str">
        <f t="shared" si="0"/>
        <v>CZE19990602*</v>
      </c>
      <c r="D38" s="122" t="str">
        <f t="shared" si="1"/>
        <v xml:space="preserve">KUBA Karel </v>
      </c>
      <c r="E38" s="123" t="str">
        <f t="shared" si="2"/>
        <v xml:space="preserve">MIX3 - CK PŘÍBRAM - FANY GASTRO </v>
      </c>
      <c r="F38" s="124">
        <f t="shared" si="3"/>
        <v>19875</v>
      </c>
      <c r="G38" s="125" t="str">
        <f t="shared" si="4"/>
        <v>CADET</v>
      </c>
      <c r="H38" s="125" t="str">
        <f t="shared" si="5"/>
        <v>CPP</v>
      </c>
      <c r="I38" s="126">
        <v>0.39305555555555699</v>
      </c>
      <c r="J38" s="70"/>
      <c r="K38" s="70"/>
    </row>
    <row r="39" spans="1:11" s="127" customFormat="1" ht="15" customHeight="1" x14ac:dyDescent="0.25">
      <c r="A39" s="45">
        <v>28</v>
      </c>
      <c r="B39" s="47">
        <v>46</v>
      </c>
      <c r="C39" s="121" t="str">
        <f t="shared" si="0"/>
        <v>*CZE19980604</v>
      </c>
      <c r="D39" s="122" t="str">
        <f t="shared" si="1"/>
        <v xml:space="preserve">ŠMÍDA Martin </v>
      </c>
      <c r="E39" s="123" t="str">
        <f t="shared" si="2"/>
        <v xml:space="preserve">SKC TUFO PROSTĚJOV </v>
      </c>
      <c r="F39" s="124">
        <f t="shared" si="3"/>
        <v>5296</v>
      </c>
      <c r="G39" s="125" t="str">
        <f t="shared" si="4"/>
        <v>JUNIOR *</v>
      </c>
      <c r="H39" s="125" t="str">
        <f t="shared" si="5"/>
        <v>STP</v>
      </c>
      <c r="I39" s="126">
        <v>0.39375000000000099</v>
      </c>
      <c r="J39" s="70"/>
      <c r="K39" s="70"/>
    </row>
    <row r="40" spans="1:11" s="127" customFormat="1" ht="15" customHeight="1" x14ac:dyDescent="0.25">
      <c r="A40" s="45">
        <v>29</v>
      </c>
      <c r="B40" s="47">
        <v>131</v>
      </c>
      <c r="C40" s="121" t="str">
        <f t="shared" si="0"/>
        <v>SVK19990529*</v>
      </c>
      <c r="D40" s="122" t="str">
        <f t="shared" si="1"/>
        <v>LIŠKA Daniel</v>
      </c>
      <c r="E40" s="123" t="str">
        <f t="shared" si="2"/>
        <v>MIX5 - TJ SLAVIA SG TRENČÍN</v>
      </c>
      <c r="F40" s="124" t="str">
        <f t="shared" si="3"/>
        <v>S 7011</v>
      </c>
      <c r="G40" s="125" t="str">
        <f t="shared" si="4"/>
        <v>CADET</v>
      </c>
      <c r="H40" s="125" t="str">
        <f t="shared" si="5"/>
        <v>SGT</v>
      </c>
      <c r="I40" s="126">
        <v>0.39444444444444599</v>
      </c>
      <c r="J40" s="70"/>
      <c r="K40" s="70"/>
    </row>
    <row r="41" spans="1:11" s="127" customFormat="1" ht="15" customHeight="1" x14ac:dyDescent="0.25">
      <c r="A41" s="45">
        <v>30</v>
      </c>
      <c r="B41" s="47">
        <v>141</v>
      </c>
      <c r="C41" s="121" t="str">
        <f t="shared" si="0"/>
        <v>SVK20000619*</v>
      </c>
      <c r="D41" s="122" t="str">
        <f t="shared" si="1"/>
        <v>COMA Richard</v>
      </c>
      <c r="E41" s="123" t="str">
        <f t="shared" si="2"/>
        <v>MIX6 - CYKLISTICKÝ SPOLOK ŽILINA</v>
      </c>
      <c r="F41" s="124" t="str">
        <f t="shared" si="3"/>
        <v>S 6808</v>
      </c>
      <c r="G41" s="125" t="str">
        <f t="shared" si="4"/>
        <v>CADET</v>
      </c>
      <c r="H41" s="125" t="str">
        <f t="shared" si="5"/>
        <v>FAV</v>
      </c>
      <c r="I41" s="126">
        <v>0.39513888888888998</v>
      </c>
      <c r="J41" s="70"/>
      <c r="K41" s="70"/>
    </row>
    <row r="42" spans="1:11" s="127" customFormat="1" ht="15" customHeight="1" x14ac:dyDescent="0.25">
      <c r="A42" s="45">
        <v>31</v>
      </c>
      <c r="B42" s="47">
        <v>20</v>
      </c>
      <c r="C42" s="121" t="str">
        <f t="shared" si="0"/>
        <v>GER19990514*</v>
      </c>
      <c r="D42" s="122" t="str">
        <f t="shared" si="1"/>
        <v>BANZER Johannes</v>
      </c>
      <c r="E42" s="123" t="str">
        <f t="shared" si="2"/>
        <v>THÜRINGER RADSPORT VERBAND</v>
      </c>
      <c r="F42" s="124" t="str">
        <f t="shared" si="3"/>
        <v>THÜ173510</v>
      </c>
      <c r="G42" s="125" t="str">
        <f t="shared" si="4"/>
        <v>CADET</v>
      </c>
      <c r="H42" s="125" t="str">
        <f t="shared" si="5"/>
        <v>THU</v>
      </c>
      <c r="I42" s="126">
        <v>0.39583333333333498</v>
      </c>
      <c r="J42" s="70"/>
      <c r="K42" s="70"/>
    </row>
    <row r="43" spans="1:11" s="127" customFormat="1" ht="15" customHeight="1" x14ac:dyDescent="0.25">
      <c r="A43" s="45">
        <v>32</v>
      </c>
      <c r="B43" s="47">
        <v>1</v>
      </c>
      <c r="C43" s="121" t="str">
        <f t="shared" si="0"/>
        <v>*GER19981124</v>
      </c>
      <c r="D43" s="122" t="str">
        <f t="shared" si="1"/>
        <v>AMBROSIUS Carlos</v>
      </c>
      <c r="E43" s="123" t="str">
        <f t="shared" si="2"/>
        <v>RSC COTTBUS</v>
      </c>
      <c r="F43" s="124" t="str">
        <f t="shared" si="3"/>
        <v>BRA043963</v>
      </c>
      <c r="G43" s="125" t="str">
        <f t="shared" si="4"/>
        <v>JUNIOR *</v>
      </c>
      <c r="H43" s="125" t="str">
        <f t="shared" si="5"/>
        <v>COT</v>
      </c>
      <c r="I43" s="126">
        <v>0.39652777777777898</v>
      </c>
      <c r="J43" s="70"/>
      <c r="K43" s="70"/>
    </row>
    <row r="44" spans="1:11" s="127" customFormat="1" ht="15" customHeight="1" x14ac:dyDescent="0.25">
      <c r="A44" s="45">
        <v>33</v>
      </c>
      <c r="B44" s="47">
        <v>153</v>
      </c>
      <c r="C44" s="121" t="str">
        <f t="shared" ref="C44:C75" si="6">VLOOKUP(B44,STARTOVKA,2,0)</f>
        <v>AUT19971210</v>
      </c>
      <c r="D44" s="122" t="str">
        <f t="shared" ref="D44:D75" si="7">VLOOKUP(B44,STARTOVKA,3,0)</f>
        <v>APPELTAUER Samuel</v>
      </c>
      <c r="E44" s="123" t="str">
        <f t="shared" ref="E44:E75" si="8">VLOOKUP(B44,STARTOVKA,4,0)</f>
        <v>MIX7 - RLM WIEN (RADLEISTUNGSMODELL WIEN)</v>
      </c>
      <c r="F44" s="124">
        <f t="shared" ref="F44:F75" si="9">VLOOKUP(B44,STARTOVKA,5,0)</f>
        <v>100027</v>
      </c>
      <c r="G44" s="125" t="str">
        <f t="shared" ref="G44:G75" si="10">VLOOKUP(B44,STARTOVKA,6,0)</f>
        <v xml:space="preserve">JUNIOR </v>
      </c>
      <c r="H44" s="125" t="str">
        <f t="shared" ref="H44:H75" si="11">VLOOKUP(B44,STARTOVKA,7,0)</f>
        <v>RLM</v>
      </c>
      <c r="I44" s="126">
        <v>0.39722222222222398</v>
      </c>
      <c r="J44" s="70"/>
      <c r="K44" s="70"/>
    </row>
    <row r="45" spans="1:11" s="127" customFormat="1" ht="15" customHeight="1" x14ac:dyDescent="0.25">
      <c r="A45" s="45">
        <v>34</v>
      </c>
      <c r="B45" s="47">
        <v>155</v>
      </c>
      <c r="C45" s="121" t="str">
        <f t="shared" si="6"/>
        <v>AUT19971224</v>
      </c>
      <c r="D45" s="122" t="str">
        <f t="shared" si="7"/>
        <v>GRASL Patrick</v>
      </c>
      <c r="E45" s="123" t="str">
        <f t="shared" si="8"/>
        <v>MIX7 - RLM WIEN (RADLEISTUNGSMODELL WIEN)</v>
      </c>
      <c r="F45" s="124">
        <f t="shared" si="9"/>
        <v>100040</v>
      </c>
      <c r="G45" s="125" t="str">
        <f t="shared" si="10"/>
        <v xml:space="preserve">JUNIOR </v>
      </c>
      <c r="H45" s="125" t="str">
        <f t="shared" si="11"/>
        <v>RLM</v>
      </c>
      <c r="I45" s="126">
        <v>0.39791666666666797</v>
      </c>
      <c r="J45" s="70"/>
      <c r="K45" s="70"/>
    </row>
    <row r="46" spans="1:11" s="127" customFormat="1" ht="15" customHeight="1" x14ac:dyDescent="0.25">
      <c r="A46" s="45">
        <v>35</v>
      </c>
      <c r="B46" s="47">
        <v>77</v>
      </c>
      <c r="C46" s="121" t="str">
        <f t="shared" si="6"/>
        <v>BEL19970116</v>
      </c>
      <c r="D46" s="122" t="str">
        <f t="shared" si="7"/>
        <v>PENNINCK Jens</v>
      </c>
      <c r="E46" s="123" t="str">
        <f t="shared" si="8"/>
        <v>MIX2  - WZW TIELTSE RENNERSCLUB</v>
      </c>
      <c r="F46" s="124">
        <f t="shared" si="9"/>
        <v>56927</v>
      </c>
      <c r="G46" s="125" t="str">
        <f t="shared" si="10"/>
        <v xml:space="preserve">JUNIOR </v>
      </c>
      <c r="H46" s="125" t="str">
        <f t="shared" si="11"/>
        <v>KOV</v>
      </c>
      <c r="I46" s="126">
        <v>0.39861111111111303</v>
      </c>
      <c r="J46" s="70"/>
      <c r="K46" s="70"/>
    </row>
    <row r="47" spans="1:11" s="127" customFormat="1" ht="15" customHeight="1" x14ac:dyDescent="0.25">
      <c r="A47" s="45">
        <v>36</v>
      </c>
      <c r="B47" s="47">
        <v>154</v>
      </c>
      <c r="C47" s="121" t="str">
        <f t="shared" si="6"/>
        <v>*AUT19980711</v>
      </c>
      <c r="D47" s="122" t="str">
        <f t="shared" si="7"/>
        <v>EDELBAUER Tobias</v>
      </c>
      <c r="E47" s="123" t="str">
        <f t="shared" si="8"/>
        <v>MIX7 - RLM WIEN (RADLEISTUNGSMODELL WIEN)</v>
      </c>
      <c r="F47" s="124">
        <f t="shared" si="9"/>
        <v>100225</v>
      </c>
      <c r="G47" s="125" t="str">
        <f t="shared" si="10"/>
        <v>JUNIOR *</v>
      </c>
      <c r="H47" s="125" t="str">
        <f t="shared" si="11"/>
        <v>RLM</v>
      </c>
      <c r="I47" s="126">
        <v>0.39930555555555702</v>
      </c>
      <c r="J47" s="70"/>
      <c r="K47" s="70"/>
    </row>
    <row r="48" spans="1:11" s="127" customFormat="1" ht="15" customHeight="1" x14ac:dyDescent="0.25">
      <c r="A48" s="45">
        <v>37</v>
      </c>
      <c r="B48" s="47">
        <v>167</v>
      </c>
      <c r="C48" s="121" t="str">
        <f t="shared" si="6"/>
        <v>AUT19970406</v>
      </c>
      <c r="D48" s="122" t="str">
        <f t="shared" si="7"/>
        <v>WINTER Stefan</v>
      </c>
      <c r="E48" s="123" t="str">
        <f t="shared" si="8"/>
        <v>LRV STEIERMARK</v>
      </c>
      <c r="F48" s="124">
        <f t="shared" si="9"/>
        <v>100677</v>
      </c>
      <c r="G48" s="125" t="str">
        <f t="shared" si="10"/>
        <v xml:space="preserve">JUNIOR </v>
      </c>
      <c r="H48" s="125" t="str">
        <f t="shared" si="11"/>
        <v>LRS</v>
      </c>
      <c r="I48" s="126">
        <v>0.40000000000000202</v>
      </c>
      <c r="J48" s="70"/>
      <c r="K48" s="70"/>
    </row>
    <row r="49" spans="1:11" s="127" customFormat="1" ht="15" customHeight="1" x14ac:dyDescent="0.25">
      <c r="A49" s="45">
        <v>38</v>
      </c>
      <c r="B49" s="47">
        <v>152</v>
      </c>
      <c r="C49" s="121" t="str">
        <f t="shared" si="6"/>
        <v>POL20000206*</v>
      </c>
      <c r="D49" s="122" t="str">
        <f t="shared" si="7"/>
        <v>WENGLORZ Michał</v>
      </c>
      <c r="E49" s="123" t="str">
        <f t="shared" si="8"/>
        <v>MIX7 - DOBRE SKLEPY ROWEROWE AUTHOR PSZCZYNA</v>
      </c>
      <c r="F49" s="124" t="str">
        <f t="shared" si="9"/>
        <v>SLA458</v>
      </c>
      <c r="G49" s="125" t="str">
        <f t="shared" si="10"/>
        <v>CADET</v>
      </c>
      <c r="H49" s="125" t="str">
        <f t="shared" si="11"/>
        <v>RLM</v>
      </c>
      <c r="I49" s="126">
        <v>0.40069444444444602</v>
      </c>
      <c r="J49" s="70"/>
      <c r="K49" s="70"/>
    </row>
    <row r="50" spans="1:11" s="127" customFormat="1" ht="15" customHeight="1" x14ac:dyDescent="0.25">
      <c r="A50" s="45">
        <v>39</v>
      </c>
      <c r="B50" s="47">
        <v>148</v>
      </c>
      <c r="C50" s="121" t="str">
        <f t="shared" si="6"/>
        <v>CZE19970409</v>
      </c>
      <c r="D50" s="122" t="str">
        <f t="shared" si="7"/>
        <v xml:space="preserve">POTŮČEK Šimon </v>
      </c>
      <c r="E50" s="123" t="str">
        <f t="shared" si="8"/>
        <v xml:space="preserve">MIX6 - TJ FAVORIT BRNO </v>
      </c>
      <c r="F50" s="124">
        <f t="shared" si="9"/>
        <v>20675</v>
      </c>
      <c r="G50" s="125" t="str">
        <f t="shared" si="10"/>
        <v xml:space="preserve">JUNIOR </v>
      </c>
      <c r="H50" s="125" t="str">
        <f t="shared" si="11"/>
        <v>FAV</v>
      </c>
      <c r="I50" s="126">
        <v>0.40138888888889102</v>
      </c>
      <c r="J50" s="70"/>
      <c r="K50" s="70"/>
    </row>
    <row r="51" spans="1:11" s="127" customFormat="1" ht="15" customHeight="1" x14ac:dyDescent="0.25">
      <c r="A51" s="45">
        <v>40</v>
      </c>
      <c r="B51" s="47">
        <v>143</v>
      </c>
      <c r="C51" s="121" t="str">
        <f t="shared" si="6"/>
        <v>SVK19990903*</v>
      </c>
      <c r="D51" s="122" t="str">
        <f t="shared" si="7"/>
        <v>JANUŠ Pavol</v>
      </c>
      <c r="E51" s="123" t="str">
        <f t="shared" si="8"/>
        <v>MIX6 - CYKLISTICKÝ SPOLOK ŽILINA</v>
      </c>
      <c r="F51" s="124" t="str">
        <f t="shared" si="9"/>
        <v>S 7460</v>
      </c>
      <c r="G51" s="125" t="str">
        <f t="shared" si="10"/>
        <v>CADET</v>
      </c>
      <c r="H51" s="125" t="str">
        <f t="shared" si="11"/>
        <v>FAV</v>
      </c>
      <c r="I51" s="126">
        <v>0.40208333333333501</v>
      </c>
      <c r="J51" s="70"/>
      <c r="K51" s="70"/>
    </row>
    <row r="52" spans="1:11" s="127" customFormat="1" ht="15" customHeight="1" x14ac:dyDescent="0.25">
      <c r="A52" s="45">
        <v>41</v>
      </c>
      <c r="B52" s="47">
        <v>145</v>
      </c>
      <c r="C52" s="121" t="str">
        <f t="shared" si="6"/>
        <v>*CZE19980313</v>
      </c>
      <c r="D52" s="122" t="str">
        <f t="shared" si="7"/>
        <v xml:space="preserve">CIHLÁŘ Adam </v>
      </c>
      <c r="E52" s="123" t="str">
        <f t="shared" si="8"/>
        <v xml:space="preserve">MIX6 - TJ FAVORIT BRNO </v>
      </c>
      <c r="F52" s="124">
        <f t="shared" si="9"/>
        <v>20840</v>
      </c>
      <c r="G52" s="125" t="str">
        <f t="shared" si="10"/>
        <v>JUNIOR *</v>
      </c>
      <c r="H52" s="125" t="str">
        <f t="shared" si="11"/>
        <v>FAV</v>
      </c>
      <c r="I52" s="126">
        <v>0.40277777777778001</v>
      </c>
      <c r="J52" s="70"/>
      <c r="K52" s="70"/>
    </row>
    <row r="53" spans="1:11" s="127" customFormat="1" ht="15" customHeight="1" x14ac:dyDescent="0.25">
      <c r="A53" s="45">
        <v>42</v>
      </c>
      <c r="B53" s="47">
        <v>151</v>
      </c>
      <c r="C53" s="121" t="str">
        <f t="shared" si="6"/>
        <v>POL19990406*</v>
      </c>
      <c r="D53" s="122" t="str">
        <f t="shared" si="7"/>
        <v>MANOWSKI Mateusz</v>
      </c>
      <c r="E53" s="123" t="str">
        <f t="shared" si="8"/>
        <v>MIX7 - DOBRE SKLEPY ROWEROWE AUTHOR PSZCZYNA</v>
      </c>
      <c r="F53" s="124" t="str">
        <f t="shared" si="9"/>
        <v>SLA451</v>
      </c>
      <c r="G53" s="125" t="str">
        <f t="shared" si="10"/>
        <v>CADET</v>
      </c>
      <c r="H53" s="125" t="str">
        <f t="shared" si="11"/>
        <v>RLM</v>
      </c>
      <c r="I53" s="126">
        <v>0.40347222222222401</v>
      </c>
      <c r="J53" s="70"/>
      <c r="K53" s="70"/>
    </row>
    <row r="54" spans="1:11" s="127" customFormat="1" ht="15" customHeight="1" x14ac:dyDescent="0.25">
      <c r="A54" s="45">
        <v>43</v>
      </c>
      <c r="B54" s="47">
        <v>105</v>
      </c>
      <c r="C54" s="121" t="str">
        <f t="shared" si="6"/>
        <v>*SVK19980903</v>
      </c>
      <c r="D54" s="122" t="str">
        <f t="shared" si="7"/>
        <v>VOJTEK Miloš</v>
      </c>
      <c r="E54" s="123" t="str">
        <f t="shared" si="8"/>
        <v>SLOVAK CYCLING FEDERATION</v>
      </c>
      <c r="F54" s="124" t="str">
        <f t="shared" si="9"/>
        <v>S 7223</v>
      </c>
      <c r="G54" s="125" t="str">
        <f t="shared" si="10"/>
        <v>JUNIOR *</v>
      </c>
      <c r="H54" s="125" t="str">
        <f t="shared" si="11"/>
        <v>SVK</v>
      </c>
      <c r="I54" s="126">
        <v>0.40416666666666901</v>
      </c>
      <c r="J54" s="70"/>
      <c r="K54" s="70"/>
    </row>
    <row r="55" spans="1:11" s="127" customFormat="1" ht="15" customHeight="1" x14ac:dyDescent="0.25">
      <c r="A55" s="45">
        <v>44</v>
      </c>
      <c r="B55" s="47">
        <v>121</v>
      </c>
      <c r="C55" s="121" t="str">
        <f t="shared" si="6"/>
        <v>CZE19990209*</v>
      </c>
      <c r="D55" s="122" t="str">
        <f t="shared" si="7"/>
        <v xml:space="preserve">HONZÁK David </v>
      </c>
      <c r="E55" s="123" t="str">
        <f t="shared" si="8"/>
        <v>MIX4 - KC KOOPERATIVA SG JABLONEC N.N</v>
      </c>
      <c r="F55" s="124">
        <f t="shared" si="9"/>
        <v>14334</v>
      </c>
      <c r="G55" s="125" t="str">
        <f t="shared" si="10"/>
        <v>CADET</v>
      </c>
      <c r="H55" s="125" t="str">
        <f t="shared" si="11"/>
        <v>KOO</v>
      </c>
      <c r="I55" s="126">
        <v>0.404861111111113</v>
      </c>
      <c r="J55" s="70"/>
      <c r="K55" s="70"/>
    </row>
    <row r="56" spans="1:11" s="127" customFormat="1" ht="15" customHeight="1" x14ac:dyDescent="0.25">
      <c r="A56" s="45">
        <v>45</v>
      </c>
      <c r="B56" s="47">
        <v>44</v>
      </c>
      <c r="C56" s="121" t="str">
        <f t="shared" si="6"/>
        <v>CZE19970417</v>
      </c>
      <c r="D56" s="122" t="str">
        <f t="shared" si="7"/>
        <v xml:space="preserve">KUBEŠ Martin </v>
      </c>
      <c r="E56" s="123" t="str">
        <f t="shared" si="8"/>
        <v xml:space="preserve">SKC TUFO PROSTĚJOV </v>
      </c>
      <c r="F56" s="124">
        <f t="shared" si="9"/>
        <v>13287</v>
      </c>
      <c r="G56" s="125" t="str">
        <f t="shared" si="10"/>
        <v xml:space="preserve">JUNIOR </v>
      </c>
      <c r="H56" s="125" t="str">
        <f t="shared" si="11"/>
        <v>STP</v>
      </c>
      <c r="I56" s="126">
        <v>0.405555555555558</v>
      </c>
      <c r="J56" s="70"/>
      <c r="K56" s="70"/>
    </row>
    <row r="57" spans="1:11" s="127" customFormat="1" ht="15" customHeight="1" x14ac:dyDescent="0.25">
      <c r="A57" s="45">
        <v>46</v>
      </c>
      <c r="B57" s="47">
        <v>23</v>
      </c>
      <c r="C57" s="121" t="str">
        <f t="shared" si="6"/>
        <v>CZE19990521*</v>
      </c>
      <c r="D57" s="122" t="str">
        <f t="shared" si="7"/>
        <v xml:space="preserve">CINK Jan </v>
      </c>
      <c r="E57" s="123" t="str">
        <f t="shared" si="8"/>
        <v xml:space="preserve">MAPEI MERIDA KAŇKOVSKÝ </v>
      </c>
      <c r="F57" s="124">
        <f t="shared" si="9"/>
        <v>5465</v>
      </c>
      <c r="G57" s="125" t="str">
        <f t="shared" si="10"/>
        <v>CADET</v>
      </c>
      <c r="H57" s="125" t="str">
        <f t="shared" si="11"/>
        <v>MAP</v>
      </c>
      <c r="I57" s="126">
        <v>0.406250000000002</v>
      </c>
      <c r="J57" s="70"/>
      <c r="K57" s="70"/>
    </row>
    <row r="58" spans="1:11" s="127" customFormat="1" ht="15" customHeight="1" x14ac:dyDescent="0.25">
      <c r="A58" s="45">
        <v>47</v>
      </c>
      <c r="B58" s="47">
        <v>59</v>
      </c>
      <c r="C58" s="121" t="str">
        <f t="shared" si="6"/>
        <v>POL19971003</v>
      </c>
      <c r="D58" s="122" t="str">
        <f t="shared" si="7"/>
        <v>INDEKA Kamil</v>
      </c>
      <c r="E58" s="123" t="str">
        <f t="shared" si="8"/>
        <v xml:space="preserve">MIX1 - GRUPA KOLARSKA GLIWICE </v>
      </c>
      <c r="F58" s="124" t="str">
        <f t="shared" si="9"/>
        <v>SLA643</v>
      </c>
      <c r="G58" s="125" t="str">
        <f t="shared" si="10"/>
        <v xml:space="preserve">JUNIOR </v>
      </c>
      <c r="H58" s="125" t="str">
        <f t="shared" si="11"/>
        <v>SLZ</v>
      </c>
      <c r="I58" s="126">
        <v>0.406944444444447</v>
      </c>
      <c r="J58" s="70"/>
      <c r="K58" s="70"/>
    </row>
    <row r="59" spans="1:11" s="127" customFormat="1" ht="15" customHeight="1" x14ac:dyDescent="0.25">
      <c r="A59" s="45">
        <v>48</v>
      </c>
      <c r="B59" s="47">
        <v>139</v>
      </c>
      <c r="C59" s="121" t="str">
        <f>VLOOKUP(B59,STARTOVKA,2,0)</f>
        <v>*POL19980719</v>
      </c>
      <c r="D59" s="122" t="str">
        <f>VLOOKUP(B59,STARTOVKA,3,0)</f>
        <v>NOWAK Michał</v>
      </c>
      <c r="E59" s="123" t="str">
        <f>VLOOKUP(B59,STARTOVKA,4,0)</f>
        <v>MIX5 - DSR AUTHOR GÓRNIK WAŁBRZYCH</v>
      </c>
      <c r="F59" s="124" t="str">
        <f>VLOOKUP(B59,STARTOVKA,5,0)</f>
        <v>DLS196</v>
      </c>
      <c r="G59" s="125" t="str">
        <f t="shared" si="10"/>
        <v>JUNIOR *</v>
      </c>
      <c r="H59" s="125" t="str">
        <f t="shared" si="11"/>
        <v>SGT</v>
      </c>
      <c r="I59" s="126">
        <v>0.40763888888889099</v>
      </c>
      <c r="J59" s="70"/>
      <c r="K59" s="70"/>
    </row>
    <row r="60" spans="1:11" s="127" customFormat="1" ht="15" customHeight="1" x14ac:dyDescent="0.25">
      <c r="A60" s="45">
        <v>49</v>
      </c>
      <c r="B60" s="47">
        <v>137</v>
      </c>
      <c r="C60" s="121" t="str">
        <f>VLOOKUP(B60,STARTOVKA,2,0)</f>
        <v>SVK19970906</v>
      </c>
      <c r="D60" s="122" t="str">
        <f>VLOOKUP(B60,STARTOVKA,3,0)</f>
        <v>HLOŽA Michal</v>
      </c>
      <c r="E60" s="123" t="str">
        <f>VLOOKUP(B60,STARTOVKA,4,0)</f>
        <v>MIX5 - TJ SLAVIA SG TRENČÍN</v>
      </c>
      <c r="F60" s="124" t="str">
        <f>VLOOKUP(B60,STARTOVKA,5,0)</f>
        <v>S 6501</v>
      </c>
      <c r="G60" s="125" t="str">
        <f t="shared" si="10"/>
        <v xml:space="preserve">JUNIOR </v>
      </c>
      <c r="H60" s="125" t="str">
        <f t="shared" si="11"/>
        <v>SGT</v>
      </c>
      <c r="I60" s="126">
        <v>0.40833333333333599</v>
      </c>
      <c r="J60" s="70"/>
      <c r="K60" s="70"/>
    </row>
    <row r="61" spans="1:11" s="127" customFormat="1" ht="15" customHeight="1" x14ac:dyDescent="0.25">
      <c r="A61" s="45">
        <v>50</v>
      </c>
      <c r="B61" s="47">
        <v>35</v>
      </c>
      <c r="C61" s="121" t="str">
        <f t="shared" si="6"/>
        <v>GER19990531*</v>
      </c>
      <c r="D61" s="122" t="str">
        <f t="shared" si="7"/>
        <v>KAMLOT Tom</v>
      </c>
      <c r="E61" s="123" t="str">
        <f t="shared" si="8"/>
        <v>JUNIOREN SCHWALBE TEAM SACHSEN</v>
      </c>
      <c r="F61" s="124" t="str">
        <f t="shared" si="9"/>
        <v>SAC135966</v>
      </c>
      <c r="G61" s="125" t="str">
        <f t="shared" si="10"/>
        <v>CADET</v>
      </c>
      <c r="H61" s="125" t="str">
        <f t="shared" si="11"/>
        <v>SAC</v>
      </c>
      <c r="I61" s="126">
        <v>0.40902777777777999</v>
      </c>
      <c r="J61" s="70"/>
      <c r="K61" s="70"/>
    </row>
    <row r="62" spans="1:11" s="127" customFormat="1" ht="15" customHeight="1" x14ac:dyDescent="0.25">
      <c r="A62" s="45">
        <v>51</v>
      </c>
      <c r="B62" s="47">
        <v>38</v>
      </c>
      <c r="C62" s="121" t="str">
        <f t="shared" si="6"/>
        <v>*GER19980430</v>
      </c>
      <c r="D62" s="122" t="str">
        <f t="shared" si="7"/>
        <v>SCHNEIDER Jonas</v>
      </c>
      <c r="E62" s="123" t="str">
        <f t="shared" si="8"/>
        <v>JUNIOREN SCHWALBE TEAM SACHSEN</v>
      </c>
      <c r="F62" s="124" t="str">
        <f t="shared" si="9"/>
        <v>SAC135307</v>
      </c>
      <c r="G62" s="125" t="str">
        <f t="shared" si="10"/>
        <v>JUNIOR *</v>
      </c>
      <c r="H62" s="125" t="str">
        <f t="shared" si="11"/>
        <v>SAC</v>
      </c>
      <c r="I62" s="126">
        <v>0.40972222222222499</v>
      </c>
      <c r="J62" s="70"/>
      <c r="K62" s="70"/>
    </row>
    <row r="63" spans="1:11" s="127" customFormat="1" ht="15" customHeight="1" x14ac:dyDescent="0.25">
      <c r="A63" s="45">
        <v>52</v>
      </c>
      <c r="B63" s="47">
        <v>133</v>
      </c>
      <c r="C63" s="121" t="str">
        <f t="shared" si="6"/>
        <v>*SVK19980324</v>
      </c>
      <c r="D63" s="122" t="str">
        <f t="shared" si="7"/>
        <v>KOVÁČ Milan</v>
      </c>
      <c r="E63" s="123" t="str">
        <f t="shared" si="8"/>
        <v>MIX5 - TJ SLAVIA SG TRENČÍN</v>
      </c>
      <c r="F63" s="124" t="str">
        <f t="shared" si="9"/>
        <v>S 5908</v>
      </c>
      <c r="G63" s="125" t="str">
        <f t="shared" si="10"/>
        <v>JUNIOR *</v>
      </c>
      <c r="H63" s="125" t="str">
        <f t="shared" si="11"/>
        <v>SGT</v>
      </c>
      <c r="I63" s="126">
        <v>0.41041666666666898</v>
      </c>
      <c r="J63" s="70"/>
      <c r="K63" s="70"/>
    </row>
    <row r="64" spans="1:11" s="127" customFormat="1" ht="15" customHeight="1" x14ac:dyDescent="0.25">
      <c r="A64" s="45">
        <v>53</v>
      </c>
      <c r="B64" s="47">
        <v>135</v>
      </c>
      <c r="C64" s="121" t="str">
        <f t="shared" si="6"/>
        <v>SVK19970207</v>
      </c>
      <c r="D64" s="122" t="str">
        <f t="shared" si="7"/>
        <v>GAVENDA Miroslav</v>
      </c>
      <c r="E64" s="123" t="str">
        <f t="shared" si="8"/>
        <v>MIX5 - TJ SLAVIA SG TRENČÍN</v>
      </c>
      <c r="F64" s="124" t="str">
        <f t="shared" si="9"/>
        <v>S 6366</v>
      </c>
      <c r="G64" s="125" t="str">
        <f t="shared" si="10"/>
        <v>JUNIOR</v>
      </c>
      <c r="H64" s="125" t="str">
        <f t="shared" si="11"/>
        <v>SGT</v>
      </c>
      <c r="I64" s="126">
        <v>0.41111111111111398</v>
      </c>
      <c r="J64" s="70"/>
      <c r="K64" s="70"/>
    </row>
    <row r="65" spans="1:11" s="127" customFormat="1" ht="15" customHeight="1" x14ac:dyDescent="0.25">
      <c r="A65" s="45">
        <v>54</v>
      </c>
      <c r="B65" s="47">
        <v>91</v>
      </c>
      <c r="C65" s="121" t="str">
        <f t="shared" si="6"/>
        <v>*GER19981104</v>
      </c>
      <c r="D65" s="122" t="str">
        <f t="shared" si="7"/>
        <v>BRANDT Nicolas</v>
      </c>
      <c r="E65" s="123" t="str">
        <f t="shared" si="8"/>
        <v>RG BERLIN</v>
      </c>
      <c r="F65" s="124" t="str">
        <f t="shared" si="9"/>
        <v>BER034971</v>
      </c>
      <c r="G65" s="125" t="str">
        <f t="shared" si="10"/>
        <v>JUNIOR *</v>
      </c>
      <c r="H65" s="125" t="str">
        <f t="shared" si="11"/>
        <v>RGB</v>
      </c>
      <c r="I65" s="126">
        <v>0.41180555555555798</v>
      </c>
      <c r="J65" s="70"/>
      <c r="K65" s="70"/>
    </row>
    <row r="66" spans="1:11" s="127" customFormat="1" ht="15" customHeight="1" x14ac:dyDescent="0.25">
      <c r="A66" s="45">
        <v>55</v>
      </c>
      <c r="B66" s="47">
        <v>32</v>
      </c>
      <c r="C66" s="121" t="str">
        <f t="shared" si="6"/>
        <v>*GER19980114</v>
      </c>
      <c r="D66" s="122" t="str">
        <f t="shared" si="7"/>
        <v>BONNES Julius</v>
      </c>
      <c r="E66" s="123" t="str">
        <f t="shared" si="8"/>
        <v>JUNIOREN SCHWALBE TEAM SACHSEN</v>
      </c>
      <c r="F66" s="124" t="str">
        <f t="shared" si="9"/>
        <v>SAC142150</v>
      </c>
      <c r="G66" s="125" t="str">
        <f t="shared" si="10"/>
        <v>JUNIOR *</v>
      </c>
      <c r="H66" s="125" t="str">
        <f t="shared" si="11"/>
        <v>SAC</v>
      </c>
      <c r="I66" s="126">
        <v>0.41250000000000298</v>
      </c>
      <c r="J66" s="70"/>
      <c r="K66" s="70"/>
    </row>
    <row r="67" spans="1:11" s="127" customFormat="1" ht="15" customHeight="1" x14ac:dyDescent="0.25">
      <c r="A67" s="45">
        <v>56</v>
      </c>
      <c r="B67" s="47">
        <v>64</v>
      </c>
      <c r="C67" s="121" t="str">
        <f t="shared" si="6"/>
        <v>*BEL19980519</v>
      </c>
      <c r="D67" s="122" t="str">
        <f t="shared" si="7"/>
        <v>KONINGS Frits</v>
      </c>
      <c r="E67" s="123" t="str">
        <f t="shared" si="8"/>
        <v>WAC TEAM HOBOKEN</v>
      </c>
      <c r="F67" s="124">
        <f t="shared" si="9"/>
        <v>49059</v>
      </c>
      <c r="G67" s="125" t="str">
        <f t="shared" si="10"/>
        <v>JUNIOR *</v>
      </c>
      <c r="H67" s="125" t="str">
        <f t="shared" si="11"/>
        <v>WAC</v>
      </c>
      <c r="I67" s="126">
        <v>0.41319444444444697</v>
      </c>
      <c r="J67" s="70"/>
      <c r="K67" s="70"/>
    </row>
    <row r="68" spans="1:11" s="127" customFormat="1" ht="15" customHeight="1" x14ac:dyDescent="0.25">
      <c r="A68" s="45">
        <v>57</v>
      </c>
      <c r="B68" s="47">
        <v>61</v>
      </c>
      <c r="C68" s="121" t="str">
        <f t="shared" si="6"/>
        <v>*BEL19980425</v>
      </c>
      <c r="D68" s="122" t="str">
        <f t="shared" si="7"/>
        <v>COMMISSARIS Lucas</v>
      </c>
      <c r="E68" s="123" t="str">
        <f t="shared" si="8"/>
        <v>WAC TEAM HOBOKEN</v>
      </c>
      <c r="F68" s="124">
        <f t="shared" si="9"/>
        <v>57573</v>
      </c>
      <c r="G68" s="125" t="str">
        <f t="shared" si="10"/>
        <v>JUNIOR *</v>
      </c>
      <c r="H68" s="125" t="str">
        <f t="shared" si="11"/>
        <v>WAC</v>
      </c>
      <c r="I68" s="126">
        <v>0.41388888888889203</v>
      </c>
      <c r="J68" s="70"/>
      <c r="K68" s="70"/>
    </row>
    <row r="69" spans="1:11" s="127" customFormat="1" ht="15" customHeight="1" x14ac:dyDescent="0.25">
      <c r="A69" s="45">
        <v>58</v>
      </c>
      <c r="B69" s="47">
        <v>157</v>
      </c>
      <c r="C69" s="121" t="str">
        <f t="shared" si="6"/>
        <v>*AUT19981224</v>
      </c>
      <c r="D69" s="122" t="str">
        <f t="shared" si="7"/>
        <v>STIDL Timo</v>
      </c>
      <c r="E69" s="123" t="str">
        <f t="shared" si="8"/>
        <v>MIX7 - RLM WIEN (RADLEISTUNGSMODELL WIEN)</v>
      </c>
      <c r="F69" s="124">
        <f t="shared" si="9"/>
        <v>100224</v>
      </c>
      <c r="G69" s="125" t="str">
        <f t="shared" si="10"/>
        <v>JUNIOR *</v>
      </c>
      <c r="H69" s="125" t="str">
        <f t="shared" si="11"/>
        <v>RLM</v>
      </c>
      <c r="I69" s="126">
        <v>0.41458333333333602</v>
      </c>
      <c r="J69" s="70"/>
      <c r="K69" s="70"/>
    </row>
    <row r="70" spans="1:11" s="127" customFormat="1" ht="15" customHeight="1" x14ac:dyDescent="0.25">
      <c r="A70" s="45">
        <v>59</v>
      </c>
      <c r="B70" s="47">
        <v>33</v>
      </c>
      <c r="C70" s="121" t="str">
        <f t="shared" si="6"/>
        <v>*GER19980912</v>
      </c>
      <c r="D70" s="122" t="str">
        <f t="shared" si="7"/>
        <v>CLAUSS Marc</v>
      </c>
      <c r="E70" s="123" t="str">
        <f t="shared" si="8"/>
        <v>JUNIOREN SCHWALBE TEAM SACHSEN</v>
      </c>
      <c r="F70" s="124" t="str">
        <f t="shared" si="9"/>
        <v>SAC135276</v>
      </c>
      <c r="G70" s="125" t="str">
        <f t="shared" si="10"/>
        <v>JUNIOR *</v>
      </c>
      <c r="H70" s="125" t="str">
        <f t="shared" si="11"/>
        <v>SAC</v>
      </c>
      <c r="I70" s="126">
        <v>0.41527777777778102</v>
      </c>
      <c r="J70" s="70"/>
      <c r="K70" s="70"/>
    </row>
    <row r="71" spans="1:11" s="127" customFormat="1" ht="15" customHeight="1" x14ac:dyDescent="0.25">
      <c r="A71" s="45">
        <v>60</v>
      </c>
      <c r="B71" s="47">
        <v>62</v>
      </c>
      <c r="C71" s="121" t="str">
        <f t="shared" si="6"/>
        <v>BEL19970621</v>
      </c>
      <c r="D71" s="122" t="str">
        <f t="shared" si="7"/>
        <v>DEKKERS Robin</v>
      </c>
      <c r="E71" s="123" t="str">
        <f t="shared" si="8"/>
        <v>WAC TEAM HOBOKEN</v>
      </c>
      <c r="F71" s="124">
        <f t="shared" si="9"/>
        <v>55822</v>
      </c>
      <c r="G71" s="125" t="str">
        <f t="shared" si="10"/>
        <v xml:space="preserve">JUNIOR </v>
      </c>
      <c r="H71" s="125" t="str">
        <f t="shared" si="11"/>
        <v>WAC</v>
      </c>
      <c r="I71" s="126">
        <v>0.41597222222222502</v>
      </c>
      <c r="J71" s="70"/>
      <c r="K71" s="70"/>
    </row>
    <row r="72" spans="1:11" s="127" customFormat="1" ht="15" customHeight="1" x14ac:dyDescent="0.25">
      <c r="A72" s="45">
        <v>61</v>
      </c>
      <c r="B72" s="47">
        <v>72</v>
      </c>
      <c r="C72" s="121" t="str">
        <f t="shared" si="6"/>
        <v>CZE19971221</v>
      </c>
      <c r="D72" s="122" t="str">
        <f t="shared" si="7"/>
        <v xml:space="preserve">KRUMPHANZL Matyáš </v>
      </c>
      <c r="E72" s="123" t="str">
        <f t="shared" si="8"/>
        <v xml:space="preserve">MIX2  - SUPERIOR BRENTJENS MTB TEAM </v>
      </c>
      <c r="F72" s="124">
        <f t="shared" si="9"/>
        <v>16722</v>
      </c>
      <c r="G72" s="125" t="str">
        <f t="shared" si="10"/>
        <v xml:space="preserve">JUNIOR </v>
      </c>
      <c r="H72" s="125" t="str">
        <f t="shared" si="11"/>
        <v>KOV</v>
      </c>
      <c r="I72" s="126">
        <v>0.41666666666667002</v>
      </c>
      <c r="J72" s="70"/>
      <c r="K72" s="70"/>
    </row>
    <row r="73" spans="1:11" s="127" customFormat="1" ht="15" customHeight="1" x14ac:dyDescent="0.25">
      <c r="A73" s="45">
        <v>62</v>
      </c>
      <c r="B73" s="47">
        <v>104</v>
      </c>
      <c r="C73" s="121" t="str">
        <f t="shared" si="6"/>
        <v>SVK19970514</v>
      </c>
      <c r="D73" s="122" t="str">
        <f t="shared" si="7"/>
        <v>TRUBAN Matej</v>
      </c>
      <c r="E73" s="123" t="str">
        <f t="shared" si="8"/>
        <v>SLOVAK CYCLING FEDERATION</v>
      </c>
      <c r="F73" s="124" t="str">
        <f t="shared" si="9"/>
        <v>S 4238</v>
      </c>
      <c r="G73" s="125" t="str">
        <f t="shared" si="10"/>
        <v xml:space="preserve">JUNIOR </v>
      </c>
      <c r="H73" s="125" t="str">
        <f t="shared" si="11"/>
        <v>SVK</v>
      </c>
      <c r="I73" s="126">
        <v>0.41736111111111401</v>
      </c>
      <c r="J73" s="70"/>
      <c r="K73" s="70"/>
    </row>
    <row r="74" spans="1:11" s="127" customFormat="1" ht="15" customHeight="1" x14ac:dyDescent="0.25">
      <c r="A74" s="45">
        <v>63</v>
      </c>
      <c r="B74" s="47">
        <v>22</v>
      </c>
      <c r="C74" s="121" t="str">
        <f t="shared" si="6"/>
        <v>CZE19970821</v>
      </c>
      <c r="D74" s="122" t="str">
        <f t="shared" si="7"/>
        <v xml:space="preserve">LAŠTŮVKA David </v>
      </c>
      <c r="E74" s="123" t="str">
        <f t="shared" si="8"/>
        <v xml:space="preserve">MAPEI MERIDA KAŇKOVSKÝ </v>
      </c>
      <c r="F74" s="124">
        <f t="shared" si="9"/>
        <v>20242</v>
      </c>
      <c r="G74" s="125" t="str">
        <f t="shared" si="10"/>
        <v xml:space="preserve">JUNIOR </v>
      </c>
      <c r="H74" s="125" t="str">
        <f t="shared" si="11"/>
        <v>MAP</v>
      </c>
      <c r="I74" s="126">
        <v>0.41805555555555901</v>
      </c>
      <c r="J74" s="70"/>
      <c r="K74" s="70"/>
    </row>
    <row r="75" spans="1:11" s="127" customFormat="1" ht="15" customHeight="1" x14ac:dyDescent="0.25">
      <c r="A75" s="45">
        <v>64</v>
      </c>
      <c r="B75" s="47">
        <v>166</v>
      </c>
      <c r="C75" s="121" t="str">
        <f t="shared" si="6"/>
        <v>AUT19971029</v>
      </c>
      <c r="D75" s="122" t="str">
        <f t="shared" si="7"/>
        <v>WAIBEL Christian</v>
      </c>
      <c r="E75" s="123" t="str">
        <f t="shared" si="8"/>
        <v>LRV STEIERMARK</v>
      </c>
      <c r="F75" s="124">
        <f t="shared" si="9"/>
        <v>100327</v>
      </c>
      <c r="G75" s="125" t="str">
        <f t="shared" si="10"/>
        <v xml:space="preserve">JUNIOR </v>
      </c>
      <c r="H75" s="125" t="str">
        <f t="shared" si="11"/>
        <v>LRS</v>
      </c>
      <c r="I75" s="126">
        <v>0.41875000000000301</v>
      </c>
      <c r="J75" s="70"/>
      <c r="K75" s="70"/>
    </row>
    <row r="76" spans="1:11" s="127" customFormat="1" ht="15" customHeight="1" x14ac:dyDescent="0.25">
      <c r="A76" s="45">
        <v>65</v>
      </c>
      <c r="B76" s="47">
        <v>82</v>
      </c>
      <c r="C76" s="121" t="str">
        <f t="shared" ref="C76:C104" si="12">VLOOKUP(B76,STARTOVKA,2,0)</f>
        <v>*GER19980319</v>
      </c>
      <c r="D76" s="122" t="str">
        <f t="shared" ref="D76:D104" si="13">VLOOKUP(B76,STARTOVKA,3,0)</f>
        <v>MEILER Martin</v>
      </c>
      <c r="E76" s="123" t="str">
        <f t="shared" ref="E76:E104" si="14">VLOOKUP(B76,STARTOVKA,4,0)</f>
        <v>GERMAN NATIONAL TEAM</v>
      </c>
      <c r="F76" s="124" t="str">
        <f t="shared" ref="F76:F104" si="15">VLOOKUP(B76,STARTOVKA,5,0)</f>
        <v>BAY029445</v>
      </c>
      <c r="G76" s="125" t="str">
        <f t="shared" ref="G76:G104" si="16">VLOOKUP(B76,STARTOVKA,6,0)</f>
        <v>JUNIOR *</v>
      </c>
      <c r="H76" s="125" t="str">
        <f t="shared" ref="H76:H104" si="17">VLOOKUP(B76,STARTOVKA,7,0)</f>
        <v>GER</v>
      </c>
      <c r="I76" s="126">
        <v>0.41944444444444801</v>
      </c>
      <c r="J76" s="70"/>
      <c r="K76" s="70"/>
    </row>
    <row r="77" spans="1:11" s="127" customFormat="1" ht="15" customHeight="1" x14ac:dyDescent="0.25">
      <c r="A77" s="45">
        <v>66</v>
      </c>
      <c r="B77" s="47">
        <v>66</v>
      </c>
      <c r="C77" s="121" t="str">
        <f t="shared" si="12"/>
        <v>BEL19991125*</v>
      </c>
      <c r="D77" s="122" t="str">
        <f t="shared" si="13"/>
        <v>VAN GILS Maxim</v>
      </c>
      <c r="E77" s="123" t="str">
        <f t="shared" si="14"/>
        <v>WAC TEAM HOBOKEN</v>
      </c>
      <c r="F77" s="124">
        <f t="shared" si="15"/>
        <v>53896</v>
      </c>
      <c r="G77" s="125" t="str">
        <f t="shared" si="16"/>
        <v>CADET</v>
      </c>
      <c r="H77" s="125" t="str">
        <f t="shared" si="17"/>
        <v>WAC</v>
      </c>
      <c r="I77" s="126">
        <v>0.420138888888892</v>
      </c>
      <c r="J77" s="70"/>
      <c r="K77" s="70"/>
    </row>
    <row r="78" spans="1:11" s="127" customFormat="1" ht="15" customHeight="1" x14ac:dyDescent="0.25">
      <c r="A78" s="45">
        <v>67</v>
      </c>
      <c r="B78" s="47">
        <v>16</v>
      </c>
      <c r="C78" s="121" t="str">
        <f t="shared" si="12"/>
        <v>*GER19980416</v>
      </c>
      <c r="D78" s="122" t="str">
        <f t="shared" si="13"/>
        <v>KÄßMANN Fabian</v>
      </c>
      <c r="E78" s="123" t="str">
        <f t="shared" si="14"/>
        <v>THÜRINGER RADSPORT VERBAND</v>
      </c>
      <c r="F78" s="124" t="str">
        <f t="shared" si="15"/>
        <v>THÜ173410</v>
      </c>
      <c r="G78" s="125" t="str">
        <f t="shared" si="16"/>
        <v>JUNIOR *</v>
      </c>
      <c r="H78" s="125" t="str">
        <f t="shared" si="17"/>
        <v>THU</v>
      </c>
      <c r="I78" s="126">
        <v>0.420833333333337</v>
      </c>
      <c r="J78" s="70"/>
      <c r="K78" s="70"/>
    </row>
    <row r="79" spans="1:11" s="127" customFormat="1" ht="15" customHeight="1" x14ac:dyDescent="0.25">
      <c r="A79" s="45">
        <v>68</v>
      </c>
      <c r="B79" s="47">
        <v>14</v>
      </c>
      <c r="C79" s="121" t="str">
        <f t="shared" si="12"/>
        <v>*GER19980425</v>
      </c>
      <c r="D79" s="122" t="str">
        <f t="shared" si="13"/>
        <v>WITTMANN Hannes</v>
      </c>
      <c r="E79" s="123" t="str">
        <f t="shared" si="14"/>
        <v>THÜRINGER RADSPORT VERBAND</v>
      </c>
      <c r="F79" s="124" t="str">
        <f t="shared" si="15"/>
        <v>THÜ173829</v>
      </c>
      <c r="G79" s="125" t="str">
        <f t="shared" si="16"/>
        <v>JUNIOR *</v>
      </c>
      <c r="H79" s="125" t="str">
        <f t="shared" si="17"/>
        <v>THU</v>
      </c>
      <c r="I79" s="126">
        <v>0.421527777777781</v>
      </c>
      <c r="J79" s="70"/>
      <c r="K79" s="70"/>
    </row>
    <row r="80" spans="1:11" s="127" customFormat="1" ht="15" customHeight="1" x14ac:dyDescent="0.25">
      <c r="A80" s="45">
        <v>69</v>
      </c>
      <c r="B80" s="47">
        <v>132</v>
      </c>
      <c r="C80" s="121" t="str">
        <f>VLOOKUP(B80,STARTOVKA,2,0)</f>
        <v>*SVK19981117</v>
      </c>
      <c r="D80" s="122" t="str">
        <f>VLOOKUP(B80,STARTOVKA,3,0)</f>
        <v>ZEMAN Alex</v>
      </c>
      <c r="E80" s="123" t="str">
        <f>VLOOKUP(B80,STARTOVKA,4,0)</f>
        <v>MIX5 - TJ SLAVIA SG TRENČÍN</v>
      </c>
      <c r="F80" s="124" t="str">
        <f>VLOOKUP(B80,STARTOVKA,5,0)</f>
        <v>S 6021</v>
      </c>
      <c r="G80" s="125" t="str">
        <f t="shared" si="16"/>
        <v>JUNIOR *</v>
      </c>
      <c r="H80" s="125" t="str">
        <f t="shared" si="17"/>
        <v>SGT</v>
      </c>
      <c r="I80" s="126">
        <v>0.422222222222226</v>
      </c>
      <c r="J80" s="70"/>
      <c r="K80" s="70"/>
    </row>
    <row r="81" spans="1:11" s="127" customFormat="1" ht="15" customHeight="1" x14ac:dyDescent="0.25">
      <c r="A81" s="45">
        <v>70</v>
      </c>
      <c r="B81" s="47">
        <v>127</v>
      </c>
      <c r="C81" s="121" t="str">
        <f>VLOOKUP(B81,STARTOVKA,2,0)</f>
        <v>CZE19991001*</v>
      </c>
      <c r="D81" s="122" t="str">
        <f>VLOOKUP(B81,STARTOVKA,3,0)</f>
        <v xml:space="preserve">VANÍČEK Šimon </v>
      </c>
      <c r="E81" s="123" t="str">
        <f>VLOOKUP(B81,STARTOVKA,4,0)</f>
        <v xml:space="preserve">MIX4 - REMERX - MERIDA TEAM KOLÍN </v>
      </c>
      <c r="F81" s="124">
        <f>VLOOKUP(B81,STARTOVKA,5,0)</f>
        <v>10306</v>
      </c>
      <c r="G81" s="125" t="str">
        <f t="shared" si="16"/>
        <v>CADET</v>
      </c>
      <c r="H81" s="125" t="str">
        <f t="shared" si="17"/>
        <v>KOO</v>
      </c>
      <c r="I81" s="126">
        <v>0.42291666666666999</v>
      </c>
      <c r="J81" s="70"/>
      <c r="K81" s="70"/>
    </row>
    <row r="82" spans="1:11" s="127" customFormat="1" ht="15" customHeight="1" x14ac:dyDescent="0.25">
      <c r="A82" s="45">
        <v>71</v>
      </c>
      <c r="B82" s="47">
        <v>123</v>
      </c>
      <c r="C82" s="121" t="str">
        <f t="shared" si="12"/>
        <v>*CZE19980217</v>
      </c>
      <c r="D82" s="122" t="str">
        <f t="shared" si="13"/>
        <v xml:space="preserve">ŠIMŮNEK Adam </v>
      </c>
      <c r="E82" s="123" t="str">
        <f t="shared" si="14"/>
        <v>MIX4 - KC KOOPERATIVA SG JABLONEC N.N</v>
      </c>
      <c r="F82" s="124">
        <f t="shared" si="15"/>
        <v>20008</v>
      </c>
      <c r="G82" s="125" t="str">
        <f t="shared" si="16"/>
        <v>JUNIOR *</v>
      </c>
      <c r="H82" s="125" t="str">
        <f t="shared" si="17"/>
        <v>KOO</v>
      </c>
      <c r="I82" s="126">
        <v>0.42361111111111499</v>
      </c>
      <c r="J82" s="70"/>
      <c r="K82" s="70"/>
    </row>
    <row r="83" spans="1:11" s="127" customFormat="1" ht="15" customHeight="1" x14ac:dyDescent="0.25">
      <c r="A83" s="45">
        <v>72</v>
      </c>
      <c r="B83" s="47">
        <v>138</v>
      </c>
      <c r="C83" s="121" t="str">
        <f t="shared" si="12"/>
        <v>POL19970608</v>
      </c>
      <c r="D83" s="122" t="str">
        <f t="shared" si="13"/>
        <v>BISKUP Bartosz</v>
      </c>
      <c r="E83" s="123" t="str">
        <f t="shared" si="14"/>
        <v>MIX5 - DSR AUTHOR GÓRNIK WAŁBRZYCH</v>
      </c>
      <c r="F83" s="124" t="str">
        <f t="shared" si="15"/>
        <v>DLS198</v>
      </c>
      <c r="G83" s="125" t="str">
        <f t="shared" si="16"/>
        <v xml:space="preserve">JUNIOR </v>
      </c>
      <c r="H83" s="125" t="str">
        <f t="shared" si="17"/>
        <v>SGT</v>
      </c>
      <c r="I83" s="126">
        <v>0.42430555555555899</v>
      </c>
      <c r="J83" s="70"/>
      <c r="K83" s="70"/>
    </row>
    <row r="84" spans="1:11" s="127" customFormat="1" ht="15" customHeight="1" x14ac:dyDescent="0.25">
      <c r="A84" s="45">
        <v>73</v>
      </c>
      <c r="B84" s="47">
        <v>122</v>
      </c>
      <c r="C84" s="121" t="str">
        <f t="shared" si="12"/>
        <v>*CZE19980914</v>
      </c>
      <c r="D84" s="122" t="str">
        <f t="shared" si="13"/>
        <v xml:space="preserve">HRUBÝ Jakub </v>
      </c>
      <c r="E84" s="123" t="str">
        <f t="shared" si="14"/>
        <v>MIX4 - KC KOOPERATIVA SG JABLONEC N.N</v>
      </c>
      <c r="F84" s="124">
        <f t="shared" si="15"/>
        <v>19500</v>
      </c>
      <c r="G84" s="125" t="str">
        <f t="shared" si="16"/>
        <v>JUNIOR *</v>
      </c>
      <c r="H84" s="125" t="str">
        <f t="shared" si="17"/>
        <v>KOO</v>
      </c>
      <c r="I84" s="126">
        <v>0.42500000000000399</v>
      </c>
      <c r="J84" s="70"/>
      <c r="K84" s="70"/>
    </row>
    <row r="85" spans="1:11" s="127" customFormat="1" ht="15" customHeight="1" x14ac:dyDescent="0.25">
      <c r="A85" s="45">
        <v>74</v>
      </c>
      <c r="B85" s="47">
        <v>76</v>
      </c>
      <c r="C85" s="121" t="str">
        <f t="shared" si="12"/>
        <v>CZE19971201</v>
      </c>
      <c r="D85" s="122" t="str">
        <f t="shared" si="13"/>
        <v xml:space="preserve">ŠTIBINGR Matěj </v>
      </c>
      <c r="E85" s="123" t="str">
        <f t="shared" si="14"/>
        <v xml:space="preserve">MIX2  - SP KOLO LOAP SPECIALIZED </v>
      </c>
      <c r="F85" s="124">
        <f t="shared" si="15"/>
        <v>19527</v>
      </c>
      <c r="G85" s="125" t="str">
        <f t="shared" si="16"/>
        <v xml:space="preserve">JUNIOR </v>
      </c>
      <c r="H85" s="125" t="str">
        <f t="shared" si="17"/>
        <v>KOV</v>
      </c>
      <c r="I85" s="126">
        <v>0.42569444444444798</v>
      </c>
      <c r="J85" s="70"/>
      <c r="K85" s="70"/>
    </row>
    <row r="86" spans="1:11" s="127" customFormat="1" ht="15" customHeight="1" x14ac:dyDescent="0.25">
      <c r="A86" s="45">
        <v>75</v>
      </c>
      <c r="B86" s="47">
        <v>12</v>
      </c>
      <c r="C86" s="121" t="str">
        <f t="shared" si="12"/>
        <v>GER19970725</v>
      </c>
      <c r="D86" s="122" t="str">
        <f t="shared" si="13"/>
        <v>MAGDEBURG Tobias</v>
      </c>
      <c r="E86" s="123" t="str">
        <f t="shared" si="14"/>
        <v>THÜRINGER RADSPORT VERBAND</v>
      </c>
      <c r="F86" s="124" t="str">
        <f t="shared" si="15"/>
        <v>THÜ173735</v>
      </c>
      <c r="G86" s="125" t="str">
        <f t="shared" si="16"/>
        <v xml:space="preserve">JUNIOR </v>
      </c>
      <c r="H86" s="125" t="str">
        <f t="shared" si="17"/>
        <v>THU</v>
      </c>
      <c r="I86" s="126">
        <v>0.42638888888889298</v>
      </c>
      <c r="J86" s="70"/>
      <c r="K86" s="70"/>
    </row>
    <row r="87" spans="1:11" s="127" customFormat="1" ht="15" customHeight="1" x14ac:dyDescent="0.25">
      <c r="A87" s="45">
        <v>76</v>
      </c>
      <c r="B87" s="47">
        <v>52</v>
      </c>
      <c r="C87" s="121" t="str">
        <f t="shared" si="12"/>
        <v>*CZE19980529</v>
      </c>
      <c r="D87" s="122" t="str">
        <f t="shared" si="13"/>
        <v>KREJČÍ Marian</v>
      </c>
      <c r="E87" s="123" t="str">
        <f t="shared" si="14"/>
        <v>MIX1 - ACK STARÁ VES NAD ONDŘEJNICÍ</v>
      </c>
      <c r="F87" s="124">
        <f t="shared" si="15"/>
        <v>20626</v>
      </c>
      <c r="G87" s="125" t="str">
        <f t="shared" si="16"/>
        <v>JUNIOR *</v>
      </c>
      <c r="H87" s="125" t="str">
        <f t="shared" si="17"/>
        <v>SLZ</v>
      </c>
      <c r="I87" s="126">
        <v>0.42708333333333698</v>
      </c>
      <c r="J87" s="70"/>
      <c r="K87" s="70"/>
    </row>
    <row r="88" spans="1:11" s="127" customFormat="1" ht="15" customHeight="1" x14ac:dyDescent="0.25">
      <c r="A88" s="45">
        <v>77</v>
      </c>
      <c r="B88" s="47">
        <v>85</v>
      </c>
      <c r="C88" s="121" t="str">
        <f t="shared" si="12"/>
        <v>GER19970211</v>
      </c>
      <c r="D88" s="122" t="str">
        <f t="shared" si="13"/>
        <v>URNAUER Lauritz</v>
      </c>
      <c r="E88" s="123" t="str">
        <f t="shared" si="14"/>
        <v>GERMAN NATIONAL TEAM</v>
      </c>
      <c r="F88" s="124" t="str">
        <f t="shared" si="15"/>
        <v>HAM062815</v>
      </c>
      <c r="G88" s="125" t="str">
        <f t="shared" si="16"/>
        <v xml:space="preserve">JUNIOR </v>
      </c>
      <c r="H88" s="125" t="str">
        <f t="shared" si="17"/>
        <v>GER</v>
      </c>
      <c r="I88" s="126">
        <v>0.42777777777778198</v>
      </c>
      <c r="J88" s="70"/>
      <c r="K88" s="70"/>
    </row>
    <row r="89" spans="1:11" s="127" customFormat="1" ht="15" customHeight="1" x14ac:dyDescent="0.25">
      <c r="A89" s="45">
        <v>78</v>
      </c>
      <c r="B89" s="47">
        <v>165</v>
      </c>
      <c r="C89" s="121" t="str">
        <f t="shared" si="12"/>
        <v>AUT19970502</v>
      </c>
      <c r="D89" s="122" t="str">
        <f t="shared" si="13"/>
        <v>RECKENDORFER Lukas</v>
      </c>
      <c r="E89" s="123" t="str">
        <f t="shared" si="14"/>
        <v>LRV STEIERMARK</v>
      </c>
      <c r="F89" s="124">
        <f t="shared" si="15"/>
        <v>100633</v>
      </c>
      <c r="G89" s="125" t="str">
        <f t="shared" si="16"/>
        <v xml:space="preserve">JUNIOR </v>
      </c>
      <c r="H89" s="125" t="str">
        <f t="shared" si="17"/>
        <v>LRS</v>
      </c>
      <c r="I89" s="126">
        <v>0.42847222222222597</v>
      </c>
      <c r="J89" s="70"/>
      <c r="K89" s="70"/>
    </row>
    <row r="90" spans="1:11" s="127" customFormat="1" ht="15" customHeight="1" x14ac:dyDescent="0.25">
      <c r="A90" s="45">
        <v>79</v>
      </c>
      <c r="B90" s="47">
        <v>27</v>
      </c>
      <c r="C90" s="121" t="str">
        <f t="shared" si="12"/>
        <v>CZE19970516</v>
      </c>
      <c r="D90" s="122" t="str">
        <f t="shared" si="13"/>
        <v xml:space="preserve">ŠORM Jiří </v>
      </c>
      <c r="E90" s="123" t="str">
        <f t="shared" si="14"/>
        <v xml:space="preserve">MAPEI MERIDA KAŇKOVSKÝ </v>
      </c>
      <c r="F90" s="124">
        <f t="shared" si="15"/>
        <v>7794</v>
      </c>
      <c r="G90" s="125" t="str">
        <f t="shared" si="16"/>
        <v xml:space="preserve">JUNIOR </v>
      </c>
      <c r="H90" s="125" t="str">
        <f t="shared" si="17"/>
        <v>MAP</v>
      </c>
      <c r="I90" s="126">
        <v>0.42916666666667103</v>
      </c>
      <c r="J90" s="70"/>
      <c r="K90" s="70"/>
    </row>
    <row r="91" spans="1:11" s="127" customFormat="1" ht="15" customHeight="1" x14ac:dyDescent="0.25">
      <c r="A91" s="45">
        <v>80</v>
      </c>
      <c r="B91" s="47">
        <v>162</v>
      </c>
      <c r="C91" s="121" t="str">
        <f t="shared" si="12"/>
        <v>AUT19970327</v>
      </c>
      <c r="D91" s="122" t="str">
        <f t="shared" si="13"/>
        <v>GURSCH Georg</v>
      </c>
      <c r="E91" s="123" t="str">
        <f t="shared" si="14"/>
        <v>LRV STEIERMARK</v>
      </c>
      <c r="F91" s="124">
        <f t="shared" si="15"/>
        <v>100312</v>
      </c>
      <c r="G91" s="125" t="str">
        <f t="shared" si="16"/>
        <v xml:space="preserve">JUNIOR </v>
      </c>
      <c r="H91" s="125" t="str">
        <f t="shared" si="17"/>
        <v>LRS</v>
      </c>
      <c r="I91" s="126">
        <v>0.42986111111111502</v>
      </c>
      <c r="J91" s="70"/>
      <c r="K91" s="70"/>
    </row>
    <row r="92" spans="1:11" s="127" customFormat="1" ht="15" customHeight="1" x14ac:dyDescent="0.25">
      <c r="A92" s="45">
        <v>81</v>
      </c>
      <c r="B92" s="47">
        <v>126</v>
      </c>
      <c r="C92" s="121" t="str">
        <f>VLOOKUP(B92,STARTOVKA,2,0)</f>
        <v>CZE19970916</v>
      </c>
      <c r="D92" s="122" t="str">
        <f>VLOOKUP(B92,STARTOVKA,3,0)</f>
        <v xml:space="preserve">KUNT Lukáš </v>
      </c>
      <c r="E92" s="123" t="str">
        <f>VLOOKUP(B92,STARTOVKA,4,0)</f>
        <v xml:space="preserve">MIX4 - REMERX - MERIDA TEAM KOLÍN </v>
      </c>
      <c r="F92" s="124">
        <f>VLOOKUP(B92,STARTOVKA,5,0)</f>
        <v>14658</v>
      </c>
      <c r="G92" s="125" t="str">
        <f>VLOOKUP(B92,STARTOVKA,6,0)</f>
        <v xml:space="preserve">JUNIOR </v>
      </c>
      <c r="H92" s="125" t="str">
        <f>VLOOKUP(B92,STARTOVKA,7,0)</f>
        <v>KOO</v>
      </c>
      <c r="I92" s="126">
        <v>0.43055555555556002</v>
      </c>
      <c r="J92" s="70"/>
      <c r="K92" s="70"/>
    </row>
    <row r="93" spans="1:11" s="127" customFormat="1" ht="15" customHeight="1" x14ac:dyDescent="0.25">
      <c r="A93" s="45">
        <v>82</v>
      </c>
      <c r="B93" s="47">
        <v>56</v>
      </c>
      <c r="C93" s="121" t="str">
        <f>VLOOKUP(B93,STARTOVKA,2,0)</f>
        <v>POL19970322</v>
      </c>
      <c r="D93" s="122" t="str">
        <f>VLOOKUP(B93,STARTOVKA,3,0)</f>
        <v>FOLTYN Maciej</v>
      </c>
      <c r="E93" s="123" t="str">
        <f>VLOOKUP(B93,STARTOVKA,4,0)</f>
        <v xml:space="preserve">MIX1 - GRUPA KOLARSKA GLIWICE </v>
      </c>
      <c r="F93" s="124" t="str">
        <f>VLOOKUP(B93,STARTOVKA,5,0)</f>
        <v>SLA300</v>
      </c>
      <c r="G93" s="125" t="str">
        <f>VLOOKUP(B93,STARTOVKA,6,0)</f>
        <v xml:space="preserve">JUNIOR </v>
      </c>
      <c r="H93" s="125" t="str">
        <f>VLOOKUP(B93,STARTOVKA,7,0)</f>
        <v>SLZ</v>
      </c>
      <c r="I93" s="126">
        <v>0.43125000000000402</v>
      </c>
      <c r="J93" s="70"/>
      <c r="K93" s="70"/>
    </row>
    <row r="94" spans="1:11" s="127" customFormat="1" ht="15" customHeight="1" x14ac:dyDescent="0.25">
      <c r="A94" s="45">
        <v>83</v>
      </c>
      <c r="B94" s="47">
        <v>60</v>
      </c>
      <c r="C94" s="121" t="str">
        <f t="shared" si="12"/>
        <v>*SVK19980115</v>
      </c>
      <c r="D94" s="122" t="str">
        <f t="shared" si="13"/>
        <v>BLAŠKOVIČ Richard</v>
      </c>
      <c r="E94" s="123" t="str">
        <f t="shared" si="14"/>
        <v>MIX1 - CK OLYMPIK TRNAVA</v>
      </c>
      <c r="F94" s="124" t="str">
        <f t="shared" si="15"/>
        <v>S 7280</v>
      </c>
      <c r="G94" s="125" t="str">
        <f t="shared" si="16"/>
        <v>JUNIOR *</v>
      </c>
      <c r="H94" s="125" t="str">
        <f t="shared" si="17"/>
        <v>SLZ</v>
      </c>
      <c r="I94" s="126">
        <v>0.43194444444444902</v>
      </c>
      <c r="J94" s="70"/>
      <c r="K94" s="70"/>
    </row>
    <row r="95" spans="1:11" s="127" customFormat="1" ht="15" customHeight="1" x14ac:dyDescent="0.25">
      <c r="A95" s="45">
        <v>84</v>
      </c>
      <c r="B95" s="47">
        <v>134</v>
      </c>
      <c r="C95" s="121" t="str">
        <f t="shared" si="12"/>
        <v>SVK19970107</v>
      </c>
      <c r="D95" s="122" t="str">
        <f t="shared" si="13"/>
        <v>JANIKOVSKÝ Lukáš</v>
      </c>
      <c r="E95" s="123" t="str">
        <f t="shared" si="14"/>
        <v>MIX5 - TJ SLAVIA SG TRENČÍN</v>
      </c>
      <c r="F95" s="124" t="str">
        <f t="shared" si="15"/>
        <v>S 7035</v>
      </c>
      <c r="G95" s="125" t="str">
        <f t="shared" si="16"/>
        <v>JUNIOR</v>
      </c>
      <c r="H95" s="125" t="str">
        <f t="shared" si="17"/>
        <v>SGT</v>
      </c>
      <c r="I95" s="126">
        <v>0.43263888888889301</v>
      </c>
      <c r="J95" s="70"/>
      <c r="K95" s="70"/>
    </row>
    <row r="96" spans="1:11" s="127" customFormat="1" ht="15" customHeight="1" x14ac:dyDescent="0.25">
      <c r="A96" s="45">
        <v>85</v>
      </c>
      <c r="B96" s="47">
        <v>113</v>
      </c>
      <c r="C96" s="121" t="str">
        <f t="shared" si="12"/>
        <v>*CZE19980120</v>
      </c>
      <c r="D96" s="122" t="str">
        <f t="shared" si="13"/>
        <v xml:space="preserve">NOVÁK Jan </v>
      </c>
      <c r="E96" s="123" t="str">
        <f t="shared" si="14"/>
        <v xml:space="preserve">MIX3 - ČEZ CYKLO TEAM TÁBOR </v>
      </c>
      <c r="F96" s="124">
        <f t="shared" si="15"/>
        <v>9535</v>
      </c>
      <c r="G96" s="125" t="str">
        <f t="shared" si="16"/>
        <v>JUNIOR *</v>
      </c>
      <c r="H96" s="125" t="str">
        <f t="shared" si="17"/>
        <v>CPP</v>
      </c>
      <c r="I96" s="126">
        <v>0.43333333333333801</v>
      </c>
      <c r="J96" s="70"/>
      <c r="K96" s="70"/>
    </row>
    <row r="97" spans="1:11" s="127" customFormat="1" ht="15" customHeight="1" x14ac:dyDescent="0.25">
      <c r="A97" s="45">
        <v>86</v>
      </c>
      <c r="B97" s="47">
        <v>18</v>
      </c>
      <c r="C97" s="121" t="str">
        <f t="shared" si="12"/>
        <v>GER19990507*</v>
      </c>
      <c r="D97" s="122" t="str">
        <f t="shared" si="13"/>
        <v>PAKALSKI Henrik</v>
      </c>
      <c r="E97" s="123" t="str">
        <f t="shared" si="14"/>
        <v>THÜRINGER RADSPORT VERBAND</v>
      </c>
      <c r="F97" s="124" t="str">
        <f t="shared" si="15"/>
        <v>THÜ043870</v>
      </c>
      <c r="G97" s="125" t="str">
        <f t="shared" si="16"/>
        <v>CADET</v>
      </c>
      <c r="H97" s="125" t="str">
        <f t="shared" si="17"/>
        <v>THU</v>
      </c>
      <c r="I97" s="126">
        <v>0.43402777777778201</v>
      </c>
      <c r="J97" s="70"/>
      <c r="K97" s="70"/>
    </row>
    <row r="98" spans="1:11" s="127" customFormat="1" ht="15" customHeight="1" x14ac:dyDescent="0.25">
      <c r="A98" s="45">
        <v>87</v>
      </c>
      <c r="B98" s="47">
        <v>6</v>
      </c>
      <c r="C98" s="121" t="str">
        <f t="shared" si="12"/>
        <v>*GER19980317</v>
      </c>
      <c r="D98" s="122" t="str">
        <f t="shared" si="13"/>
        <v>SCHNEIDER William</v>
      </c>
      <c r="E98" s="123" t="str">
        <f t="shared" si="14"/>
        <v>RSC COTTBUS</v>
      </c>
      <c r="F98" s="124" t="str">
        <f t="shared" si="15"/>
        <v>BRA043275</v>
      </c>
      <c r="G98" s="125" t="str">
        <f t="shared" si="16"/>
        <v>JUNIOR *</v>
      </c>
      <c r="H98" s="125" t="str">
        <f t="shared" si="17"/>
        <v>COT</v>
      </c>
      <c r="I98" s="126">
        <v>0.43472222222222701</v>
      </c>
      <c r="J98" s="70"/>
      <c r="K98" s="70"/>
    </row>
    <row r="99" spans="1:11" s="127" customFormat="1" ht="15" customHeight="1" x14ac:dyDescent="0.25">
      <c r="A99" s="45">
        <v>88</v>
      </c>
      <c r="B99" s="47">
        <v>51</v>
      </c>
      <c r="C99" s="121" t="str">
        <f t="shared" si="12"/>
        <v>*CZE19980914</v>
      </c>
      <c r="D99" s="122" t="str">
        <f t="shared" si="13"/>
        <v>TRACHTULEC Petr</v>
      </c>
      <c r="E99" s="123" t="str">
        <f t="shared" si="14"/>
        <v>MIX1 - CK FESO PETŘVALD</v>
      </c>
      <c r="F99" s="124">
        <f t="shared" si="15"/>
        <v>20073</v>
      </c>
      <c r="G99" s="125" t="str">
        <f t="shared" si="16"/>
        <v>JUNIOR *</v>
      </c>
      <c r="H99" s="125" t="str">
        <f t="shared" si="17"/>
        <v>SLZ</v>
      </c>
      <c r="I99" s="126">
        <v>0.435416666666671</v>
      </c>
      <c r="J99" s="70"/>
      <c r="K99" s="70"/>
    </row>
    <row r="100" spans="1:11" s="127" customFormat="1" ht="15" customHeight="1" x14ac:dyDescent="0.25">
      <c r="A100" s="45">
        <v>89</v>
      </c>
      <c r="B100" s="47">
        <v>13</v>
      </c>
      <c r="C100" s="121" t="str">
        <f t="shared" si="12"/>
        <v>GER19970811</v>
      </c>
      <c r="D100" s="122" t="str">
        <f t="shared" si="13"/>
        <v>LINTZEL Philip</v>
      </c>
      <c r="E100" s="123" t="str">
        <f t="shared" si="14"/>
        <v>THÜRINGER RADSPORT VERBAND</v>
      </c>
      <c r="F100" s="124" t="str">
        <f t="shared" si="15"/>
        <v>THÜ173079</v>
      </c>
      <c r="G100" s="125" t="str">
        <f t="shared" si="16"/>
        <v xml:space="preserve">JUNIOR </v>
      </c>
      <c r="H100" s="125" t="str">
        <f t="shared" si="17"/>
        <v>THU</v>
      </c>
      <c r="I100" s="126">
        <v>0.436111111111116</v>
      </c>
      <c r="J100" s="70"/>
      <c r="K100" s="70"/>
    </row>
    <row r="101" spans="1:11" s="127" customFormat="1" ht="15" customHeight="1" x14ac:dyDescent="0.25">
      <c r="A101" s="45">
        <v>90</v>
      </c>
      <c r="B101" s="47">
        <v>4</v>
      </c>
      <c r="C101" s="121" t="str">
        <f t="shared" si="12"/>
        <v>*GER19981204</v>
      </c>
      <c r="D101" s="122" t="str">
        <f t="shared" si="13"/>
        <v>MÜLLER Tom</v>
      </c>
      <c r="E101" s="123" t="str">
        <f t="shared" si="14"/>
        <v>RSC COTTBUS</v>
      </c>
      <c r="F101" s="124" t="str">
        <f t="shared" si="15"/>
        <v>BRA044003</v>
      </c>
      <c r="G101" s="125" t="str">
        <f t="shared" si="16"/>
        <v>JUNIOR *</v>
      </c>
      <c r="H101" s="125" t="str">
        <f t="shared" si="17"/>
        <v>COT</v>
      </c>
      <c r="I101" s="126">
        <v>0.43680555555556</v>
      </c>
      <c r="J101" s="70"/>
      <c r="K101" s="70"/>
    </row>
    <row r="102" spans="1:11" s="127" customFormat="1" ht="15" customHeight="1" x14ac:dyDescent="0.25">
      <c r="A102" s="45">
        <v>91</v>
      </c>
      <c r="B102" s="47">
        <v>15</v>
      </c>
      <c r="C102" s="121" t="str">
        <f t="shared" si="12"/>
        <v>*GER19980410</v>
      </c>
      <c r="D102" s="122" t="str">
        <f t="shared" si="13"/>
        <v>DÖPEL Robin</v>
      </c>
      <c r="E102" s="123" t="str">
        <f t="shared" si="14"/>
        <v>THÜRINGER RADSPORT VERBAND</v>
      </c>
      <c r="F102" s="124" t="str">
        <f t="shared" si="15"/>
        <v>THÜ173350</v>
      </c>
      <c r="G102" s="125" t="str">
        <f t="shared" si="16"/>
        <v>JUNIOR *</v>
      </c>
      <c r="H102" s="125" t="str">
        <f t="shared" si="17"/>
        <v>THU</v>
      </c>
      <c r="I102" s="126">
        <v>0.437500000000005</v>
      </c>
      <c r="J102" s="70"/>
      <c r="K102" s="70"/>
    </row>
    <row r="103" spans="1:11" s="127" customFormat="1" ht="15" customHeight="1" x14ac:dyDescent="0.25">
      <c r="A103" s="45">
        <v>92</v>
      </c>
      <c r="B103" s="47">
        <v>79</v>
      </c>
      <c r="C103" s="121" t="str">
        <f t="shared" si="12"/>
        <v>*CZE19980414</v>
      </c>
      <c r="D103" s="122" t="str">
        <f t="shared" si="13"/>
        <v xml:space="preserve">MACEK Michal </v>
      </c>
      <c r="E103" s="123" t="str">
        <f t="shared" si="14"/>
        <v xml:space="preserve">MIX2  - VRV TEAM </v>
      </c>
      <c r="F103" s="124">
        <f t="shared" si="15"/>
        <v>19708</v>
      </c>
      <c r="G103" s="125" t="str">
        <f t="shared" si="16"/>
        <v>JUNIOR *</v>
      </c>
      <c r="H103" s="125" t="str">
        <f t="shared" si="17"/>
        <v>KOV</v>
      </c>
      <c r="I103" s="126">
        <v>0.43819444444444899</v>
      </c>
      <c r="J103" s="70"/>
      <c r="K103" s="70"/>
    </row>
    <row r="104" spans="1:11" s="127" customFormat="1" ht="15" customHeight="1" x14ac:dyDescent="0.25">
      <c r="A104" s="45">
        <v>93</v>
      </c>
      <c r="B104" s="47">
        <v>78</v>
      </c>
      <c r="C104" s="121" t="str">
        <f t="shared" si="12"/>
        <v>*CZE19980106</v>
      </c>
      <c r="D104" s="122" t="str">
        <f t="shared" si="13"/>
        <v xml:space="preserve">BÁRTEK David </v>
      </c>
      <c r="E104" s="123" t="str">
        <f t="shared" si="14"/>
        <v xml:space="preserve">MIX2  - VRV TEAM </v>
      </c>
      <c r="F104" s="124">
        <f t="shared" si="15"/>
        <v>5332</v>
      </c>
      <c r="G104" s="125" t="str">
        <f t="shared" si="16"/>
        <v>JUNIOR *</v>
      </c>
      <c r="H104" s="125" t="str">
        <f t="shared" si="17"/>
        <v>KOV</v>
      </c>
      <c r="I104" s="126">
        <v>0.43888888888889399</v>
      </c>
      <c r="J104" s="70"/>
      <c r="K104" s="70"/>
    </row>
    <row r="105" spans="1:11" s="127" customFormat="1" ht="15" customHeight="1" x14ac:dyDescent="0.25">
      <c r="A105" s="45">
        <v>94</v>
      </c>
      <c r="B105" s="47">
        <v>111</v>
      </c>
      <c r="C105" s="121" t="str">
        <f t="shared" ref="C105:C148" si="18">VLOOKUP(B105,STARTOVKA,2,0)</f>
        <v>*CZE19981028</v>
      </c>
      <c r="D105" s="122" t="str">
        <f t="shared" ref="D105:D148" si="19">VLOOKUP(B105,STARTOVKA,3,0)</f>
        <v xml:space="preserve">BAKUS Tomáš </v>
      </c>
      <c r="E105" s="123" t="str">
        <f t="shared" ref="E105:E148" si="20">VLOOKUP(B105,STARTOVKA,4,0)</f>
        <v xml:space="preserve">MIX3 - ČEZ CYKLO TEAM TÁBOR </v>
      </c>
      <c r="F105" s="124">
        <f t="shared" ref="F105:F148" si="21">VLOOKUP(B105,STARTOVKA,5,0)</f>
        <v>20355</v>
      </c>
      <c r="G105" s="125" t="str">
        <f t="shared" ref="G105:G148" si="22">VLOOKUP(B105,STARTOVKA,6,0)</f>
        <v>JUNIOR *</v>
      </c>
      <c r="H105" s="125" t="str">
        <f t="shared" ref="H105:H148" si="23">VLOOKUP(B105,STARTOVKA,7,0)</f>
        <v>CPP</v>
      </c>
      <c r="I105" s="126">
        <v>0.43958333333333799</v>
      </c>
      <c r="J105" s="70"/>
      <c r="K105" s="70"/>
    </row>
    <row r="106" spans="1:11" s="127" customFormat="1" ht="15" customHeight="1" x14ac:dyDescent="0.25">
      <c r="A106" s="45">
        <v>95</v>
      </c>
      <c r="B106" s="47">
        <v>21</v>
      </c>
      <c r="C106" s="121" t="str">
        <f t="shared" si="18"/>
        <v>CZE19971022</v>
      </c>
      <c r="D106" s="122" t="str">
        <f t="shared" si="19"/>
        <v xml:space="preserve">KLEVETA Jakub </v>
      </c>
      <c r="E106" s="123" t="str">
        <f t="shared" si="20"/>
        <v xml:space="preserve">MAPEI MERIDA KAŇKOVSKÝ </v>
      </c>
      <c r="F106" s="124">
        <f t="shared" si="21"/>
        <v>10284</v>
      </c>
      <c r="G106" s="125" t="str">
        <f t="shared" si="22"/>
        <v xml:space="preserve">JUNIOR </v>
      </c>
      <c r="H106" s="125" t="str">
        <f t="shared" si="23"/>
        <v>MAP</v>
      </c>
      <c r="I106" s="126">
        <v>0.44027777777778299</v>
      </c>
      <c r="J106" s="70"/>
      <c r="K106" s="70"/>
    </row>
    <row r="107" spans="1:11" s="127" customFormat="1" ht="15" customHeight="1" x14ac:dyDescent="0.25">
      <c r="A107" s="45">
        <v>96</v>
      </c>
      <c r="B107" s="47">
        <v>150</v>
      </c>
      <c r="C107" s="121" t="str">
        <f t="shared" si="18"/>
        <v>*CZE19980624</v>
      </c>
      <c r="D107" s="122" t="str">
        <f t="shared" si="19"/>
        <v>PRUDEK Dominik</v>
      </c>
      <c r="E107" s="123" t="str">
        <f t="shared" si="20"/>
        <v xml:space="preserve">MIX6 - TJ FAVORIT BRNO </v>
      </c>
      <c r="F107" s="124">
        <f t="shared" si="21"/>
        <v>9600</v>
      </c>
      <c r="G107" s="125" t="str">
        <f t="shared" si="22"/>
        <v>JUNIOR *</v>
      </c>
      <c r="H107" s="125" t="str">
        <f t="shared" si="23"/>
        <v>FAV</v>
      </c>
      <c r="I107" s="126">
        <v>0.44097222222222698</v>
      </c>
      <c r="J107" s="70"/>
      <c r="K107" s="70"/>
    </row>
    <row r="108" spans="1:11" s="127" customFormat="1" ht="15" customHeight="1" x14ac:dyDescent="0.25">
      <c r="A108" s="45">
        <v>97</v>
      </c>
      <c r="B108" s="47">
        <v>161</v>
      </c>
      <c r="C108" s="121" t="str">
        <f t="shared" si="18"/>
        <v>*AUT19980216</v>
      </c>
      <c r="D108" s="122" t="str">
        <f t="shared" si="19"/>
        <v>FRIEDRICH Marco</v>
      </c>
      <c r="E108" s="123" t="str">
        <f t="shared" si="20"/>
        <v>LRV STEIERMARK</v>
      </c>
      <c r="F108" s="124">
        <f t="shared" si="21"/>
        <v>100698</v>
      </c>
      <c r="G108" s="125" t="str">
        <f t="shared" si="22"/>
        <v>JUNIOR *</v>
      </c>
      <c r="H108" s="125" t="str">
        <f t="shared" si="23"/>
        <v>LRS</v>
      </c>
      <c r="I108" s="126">
        <v>0.44166666666667198</v>
      </c>
      <c r="J108" s="70"/>
      <c r="K108" s="70"/>
    </row>
    <row r="109" spans="1:11" s="127" customFormat="1" ht="15" customHeight="1" x14ac:dyDescent="0.25">
      <c r="A109" s="45">
        <v>98</v>
      </c>
      <c r="B109" s="47">
        <v>92</v>
      </c>
      <c r="C109" s="121" t="str">
        <f t="shared" si="18"/>
        <v>GER20000619*</v>
      </c>
      <c r="D109" s="122" t="str">
        <f t="shared" si="19"/>
        <v>DREIER Fabian</v>
      </c>
      <c r="E109" s="123" t="str">
        <f t="shared" si="20"/>
        <v>RG BERLIN</v>
      </c>
      <c r="F109" s="124" t="str">
        <f t="shared" si="21"/>
        <v>BER035135</v>
      </c>
      <c r="G109" s="125" t="str">
        <f t="shared" si="22"/>
        <v>CADET</v>
      </c>
      <c r="H109" s="125" t="str">
        <f t="shared" si="23"/>
        <v>RGB</v>
      </c>
      <c r="I109" s="126">
        <v>0.44236111111111598</v>
      </c>
      <c r="J109" s="70"/>
      <c r="K109" s="70"/>
    </row>
    <row r="110" spans="1:11" s="127" customFormat="1" ht="15" customHeight="1" x14ac:dyDescent="0.25">
      <c r="A110" s="45">
        <v>99</v>
      </c>
      <c r="B110" s="47">
        <v>103</v>
      </c>
      <c r="C110" s="121" t="str">
        <f t="shared" si="18"/>
        <v>SVK19970730</v>
      </c>
      <c r="D110" s="122" t="str">
        <f t="shared" si="19"/>
        <v>MEŇUŠ Tomáš</v>
      </c>
      <c r="E110" s="123" t="str">
        <f t="shared" si="20"/>
        <v>SLOVAK CYCLING FEDERATION</v>
      </c>
      <c r="F110" s="124" t="str">
        <f t="shared" si="21"/>
        <v>S 6668</v>
      </c>
      <c r="G110" s="125" t="str">
        <f t="shared" si="22"/>
        <v xml:space="preserve">JUNIOR </v>
      </c>
      <c r="H110" s="125" t="str">
        <f t="shared" si="23"/>
        <v>SVK</v>
      </c>
      <c r="I110" s="126">
        <v>0.44305555555556098</v>
      </c>
      <c r="J110" s="70"/>
      <c r="K110" s="70"/>
    </row>
    <row r="111" spans="1:11" s="127" customFormat="1" ht="15" customHeight="1" x14ac:dyDescent="0.25">
      <c r="A111" s="45">
        <v>100</v>
      </c>
      <c r="B111" s="47">
        <v>94</v>
      </c>
      <c r="C111" s="121" t="str">
        <f t="shared" si="18"/>
        <v>GER19971001</v>
      </c>
      <c r="D111" s="122" t="str">
        <f t="shared" si="19"/>
        <v>HOLTZ Christopher</v>
      </c>
      <c r="E111" s="123" t="str">
        <f t="shared" si="20"/>
        <v>RG BERLIN</v>
      </c>
      <c r="F111" s="124" t="str">
        <f t="shared" si="21"/>
        <v>HAM051122</v>
      </c>
      <c r="G111" s="125" t="str">
        <f t="shared" si="22"/>
        <v xml:space="preserve">JUNIOR </v>
      </c>
      <c r="H111" s="125" t="str">
        <f t="shared" si="23"/>
        <v>RGB</v>
      </c>
      <c r="I111" s="126">
        <v>0.44375000000000497</v>
      </c>
      <c r="J111" s="70"/>
      <c r="K111" s="70"/>
    </row>
    <row r="112" spans="1:11" s="127" customFormat="1" ht="15" customHeight="1" x14ac:dyDescent="0.25">
      <c r="A112" s="45">
        <v>101</v>
      </c>
      <c r="B112" s="47">
        <v>117</v>
      </c>
      <c r="C112" s="121" t="str">
        <f t="shared" si="18"/>
        <v>CZE19970109</v>
      </c>
      <c r="D112" s="122" t="str">
        <f t="shared" si="19"/>
        <v xml:space="preserve">SVATEK Miroslav </v>
      </c>
      <c r="E112" s="123" t="str">
        <f t="shared" si="20"/>
        <v xml:space="preserve">MIX3 - AC SPARTA PRAHA </v>
      </c>
      <c r="F112" s="124">
        <f t="shared" si="21"/>
        <v>9623</v>
      </c>
      <c r="G112" s="125" t="str">
        <f t="shared" si="22"/>
        <v xml:space="preserve">JUNIOR </v>
      </c>
      <c r="H112" s="125" t="str">
        <f t="shared" si="23"/>
        <v>CPP</v>
      </c>
      <c r="I112" s="126">
        <v>0.44444444444445003</v>
      </c>
      <c r="J112" s="70"/>
      <c r="K112" s="70"/>
    </row>
    <row r="113" spans="1:11" s="127" customFormat="1" ht="15" customHeight="1" x14ac:dyDescent="0.25">
      <c r="A113" s="45">
        <v>102</v>
      </c>
      <c r="B113" s="47">
        <v>57</v>
      </c>
      <c r="C113" s="121" t="str">
        <f t="shared" si="18"/>
        <v>POL19970825</v>
      </c>
      <c r="D113" s="122" t="str">
        <f t="shared" si="19"/>
        <v xml:space="preserve">GRZEGORZYCA Dominik </v>
      </c>
      <c r="E113" s="123" t="str">
        <f t="shared" si="20"/>
        <v xml:space="preserve">MIX1 - GRUPA KOLARSKA GLIWICE </v>
      </c>
      <c r="F113" s="124" t="str">
        <f t="shared" si="21"/>
        <v>SLA288</v>
      </c>
      <c r="G113" s="125" t="str">
        <f t="shared" si="22"/>
        <v xml:space="preserve">JUNIOR </v>
      </c>
      <c r="H113" s="125" t="str">
        <f t="shared" si="23"/>
        <v>SLZ</v>
      </c>
      <c r="I113" s="126">
        <v>0.44513888888889402</v>
      </c>
      <c r="J113" s="70"/>
      <c r="K113" s="70"/>
    </row>
    <row r="114" spans="1:11" s="127" customFormat="1" ht="15" customHeight="1" x14ac:dyDescent="0.25">
      <c r="A114" s="45">
        <v>103</v>
      </c>
      <c r="B114" s="47">
        <v>106</v>
      </c>
      <c r="C114" s="121" t="str">
        <f t="shared" si="18"/>
        <v>*SVK19980719</v>
      </c>
      <c r="D114" s="122" t="str">
        <f t="shared" si="19"/>
        <v>GAJDOŠÍK Ján</v>
      </c>
      <c r="E114" s="123" t="str">
        <f t="shared" si="20"/>
        <v>SLOVAK CYCLING FEDERATION</v>
      </c>
      <c r="F114" s="124" t="str">
        <f t="shared" si="21"/>
        <v>S 5766</v>
      </c>
      <c r="G114" s="125" t="str">
        <f t="shared" si="22"/>
        <v>JUNIOR *</v>
      </c>
      <c r="H114" s="125" t="str">
        <f t="shared" si="23"/>
        <v>SVK</v>
      </c>
      <c r="I114" s="126">
        <v>0.44583333333333902</v>
      </c>
      <c r="J114" s="70"/>
      <c r="K114" s="70"/>
    </row>
    <row r="115" spans="1:11" s="127" customFormat="1" ht="15" customHeight="1" x14ac:dyDescent="0.25">
      <c r="A115" s="45">
        <v>104</v>
      </c>
      <c r="B115" s="47">
        <v>37</v>
      </c>
      <c r="C115" s="121" t="str">
        <f t="shared" si="18"/>
        <v>*GER19981209</v>
      </c>
      <c r="D115" s="122" t="str">
        <f t="shared" si="19"/>
        <v>NOLDE Tobias</v>
      </c>
      <c r="E115" s="123" t="str">
        <f t="shared" si="20"/>
        <v>JUNIOREN SCHWALBE TEAM SACHSEN</v>
      </c>
      <c r="F115" s="124" t="str">
        <f t="shared" si="21"/>
        <v>SAC095804</v>
      </c>
      <c r="G115" s="125" t="str">
        <f t="shared" si="22"/>
        <v>JUNIOR *</v>
      </c>
      <c r="H115" s="125" t="str">
        <f t="shared" si="23"/>
        <v>SAC</v>
      </c>
      <c r="I115" s="126">
        <v>0.44652777777778302</v>
      </c>
      <c r="J115" s="70"/>
      <c r="K115" s="70"/>
    </row>
    <row r="116" spans="1:11" s="127" customFormat="1" ht="15" customHeight="1" x14ac:dyDescent="0.25">
      <c r="A116" s="45">
        <v>105</v>
      </c>
      <c r="B116" s="47">
        <v>71</v>
      </c>
      <c r="C116" s="121" t="str">
        <f t="shared" si="18"/>
        <v>CZE19990814*</v>
      </c>
      <c r="D116" s="122" t="str">
        <f t="shared" si="19"/>
        <v xml:space="preserve">KLABOUCH Petr </v>
      </c>
      <c r="E116" s="123" t="str">
        <f t="shared" si="20"/>
        <v>MIX2  - VELO - CLUB CIRKL Č.BUDĚJOVICE</v>
      </c>
      <c r="F116" s="124">
        <f t="shared" si="21"/>
        <v>7815</v>
      </c>
      <c r="G116" s="125" t="str">
        <f t="shared" si="22"/>
        <v>CADET</v>
      </c>
      <c r="H116" s="125" t="str">
        <f t="shared" si="23"/>
        <v>KOV</v>
      </c>
      <c r="I116" s="126">
        <v>0.44722222222222802</v>
      </c>
      <c r="J116" s="70"/>
      <c r="K116" s="70"/>
    </row>
    <row r="117" spans="1:11" s="127" customFormat="1" ht="15" customHeight="1" x14ac:dyDescent="0.25">
      <c r="A117" s="45">
        <v>106</v>
      </c>
      <c r="B117" s="47">
        <v>146</v>
      </c>
      <c r="C117" s="121" t="str">
        <f t="shared" si="18"/>
        <v>CZE19970414</v>
      </c>
      <c r="D117" s="122" t="str">
        <f t="shared" si="19"/>
        <v xml:space="preserve">DVOŘÁK Jakub </v>
      </c>
      <c r="E117" s="123" t="str">
        <f t="shared" si="20"/>
        <v xml:space="preserve">MIX6 - TJ FAVORIT BRNO </v>
      </c>
      <c r="F117" s="124">
        <f t="shared" si="21"/>
        <v>14284</v>
      </c>
      <c r="G117" s="125" t="str">
        <f t="shared" si="22"/>
        <v xml:space="preserve">JUNIOR </v>
      </c>
      <c r="H117" s="125" t="str">
        <f t="shared" si="23"/>
        <v>FAV</v>
      </c>
      <c r="I117" s="126">
        <v>0.44791666666667201</v>
      </c>
      <c r="J117" s="70"/>
      <c r="K117" s="70"/>
    </row>
    <row r="118" spans="1:11" s="127" customFormat="1" ht="15" customHeight="1" x14ac:dyDescent="0.25">
      <c r="A118" s="45">
        <v>107</v>
      </c>
      <c r="B118" s="47">
        <v>147</v>
      </c>
      <c r="C118" s="121" t="str">
        <f t="shared" si="18"/>
        <v>CZE19970127</v>
      </c>
      <c r="D118" s="122" t="str">
        <f t="shared" si="19"/>
        <v xml:space="preserve">KOTOUČEK Matěj </v>
      </c>
      <c r="E118" s="123" t="str">
        <f t="shared" si="20"/>
        <v xml:space="preserve">MIX6 - TJ FAVORIT BRNO </v>
      </c>
      <c r="F118" s="124">
        <f t="shared" si="21"/>
        <v>9917</v>
      </c>
      <c r="G118" s="125" t="str">
        <f t="shared" si="22"/>
        <v xml:space="preserve">JUNIOR </v>
      </c>
      <c r="H118" s="125" t="str">
        <f t="shared" si="23"/>
        <v>FAV</v>
      </c>
      <c r="I118" s="126">
        <v>0.44861111111111701</v>
      </c>
      <c r="J118" s="70"/>
      <c r="K118" s="70"/>
    </row>
    <row r="119" spans="1:11" s="127" customFormat="1" ht="15" customHeight="1" x14ac:dyDescent="0.25">
      <c r="A119" s="45">
        <v>108</v>
      </c>
      <c r="B119" s="47">
        <v>39</v>
      </c>
      <c r="C119" s="121" t="str">
        <f t="shared" si="18"/>
        <v>*GER19980906</v>
      </c>
      <c r="D119" s="122" t="str">
        <f t="shared" si="19"/>
        <v>ZSCHOCKE Maximilian</v>
      </c>
      <c r="E119" s="123" t="str">
        <f t="shared" si="20"/>
        <v>JUNIOREN SCHWALBE TEAM SACHSEN</v>
      </c>
      <c r="F119" s="124" t="str">
        <f t="shared" si="21"/>
        <v>SAC135079</v>
      </c>
      <c r="G119" s="125" t="str">
        <f t="shared" si="22"/>
        <v>JUNIOR *</v>
      </c>
      <c r="H119" s="125" t="str">
        <f t="shared" si="23"/>
        <v>SAC</v>
      </c>
      <c r="I119" s="126">
        <v>0.44930555555556101</v>
      </c>
      <c r="J119" s="70"/>
      <c r="K119" s="70"/>
    </row>
    <row r="120" spans="1:11" s="127" customFormat="1" ht="15" customHeight="1" x14ac:dyDescent="0.25">
      <c r="A120" s="45">
        <v>109</v>
      </c>
      <c r="B120" s="47">
        <v>45</v>
      </c>
      <c r="C120" s="121" t="str">
        <f t="shared" si="18"/>
        <v>CZE19971015</v>
      </c>
      <c r="D120" s="122" t="str">
        <f t="shared" si="19"/>
        <v xml:space="preserve">STRUPEK Matyáš </v>
      </c>
      <c r="E120" s="123" t="str">
        <f t="shared" si="20"/>
        <v xml:space="preserve">SKC TUFO PROSTĚJOV </v>
      </c>
      <c r="F120" s="124">
        <f t="shared" si="21"/>
        <v>11747</v>
      </c>
      <c r="G120" s="125" t="str">
        <f t="shared" si="22"/>
        <v xml:space="preserve">JUNIOR </v>
      </c>
      <c r="H120" s="125" t="str">
        <f t="shared" si="23"/>
        <v>STP</v>
      </c>
      <c r="I120" s="126">
        <v>0.45000000000000601</v>
      </c>
      <c r="J120" s="70"/>
      <c r="K120" s="70"/>
    </row>
    <row r="121" spans="1:11" s="127" customFormat="1" ht="15" customHeight="1" x14ac:dyDescent="0.25">
      <c r="A121" s="45">
        <v>110</v>
      </c>
      <c r="B121" s="47">
        <v>8</v>
      </c>
      <c r="C121" s="121" t="str">
        <f t="shared" si="18"/>
        <v>GER19970701</v>
      </c>
      <c r="D121" s="122" t="str">
        <f t="shared" si="19"/>
        <v>ZETZSCHE Till</v>
      </c>
      <c r="E121" s="123" t="str">
        <f t="shared" si="20"/>
        <v>RSC COTTBUS</v>
      </c>
      <c r="F121" s="124" t="str">
        <f t="shared" si="21"/>
        <v>BRA043938</v>
      </c>
      <c r="G121" s="125" t="str">
        <f t="shared" si="22"/>
        <v xml:space="preserve">JUNIOR </v>
      </c>
      <c r="H121" s="125" t="str">
        <f t="shared" si="23"/>
        <v>COT</v>
      </c>
      <c r="I121" s="126">
        <v>0.45069444444445</v>
      </c>
      <c r="J121" s="70"/>
      <c r="K121" s="70"/>
    </row>
    <row r="122" spans="1:11" s="127" customFormat="1" ht="15" customHeight="1" x14ac:dyDescent="0.25">
      <c r="A122" s="45">
        <v>111</v>
      </c>
      <c r="B122" s="47">
        <v>41</v>
      </c>
      <c r="C122" s="121" t="str">
        <f t="shared" si="18"/>
        <v>CZE19971201</v>
      </c>
      <c r="D122" s="122" t="str">
        <f t="shared" si="19"/>
        <v xml:space="preserve">CHYTIL Daniel </v>
      </c>
      <c r="E122" s="123" t="str">
        <f t="shared" si="20"/>
        <v xml:space="preserve">SKC TUFO PROSTĚJOV </v>
      </c>
      <c r="F122" s="124">
        <f t="shared" si="21"/>
        <v>13150</v>
      </c>
      <c r="G122" s="125" t="str">
        <f t="shared" si="22"/>
        <v xml:space="preserve">JUNIOR </v>
      </c>
      <c r="H122" s="125" t="str">
        <f t="shared" si="23"/>
        <v>STP</v>
      </c>
      <c r="I122" s="126">
        <v>0.451388888888895</v>
      </c>
      <c r="J122" s="70"/>
      <c r="K122" s="70"/>
    </row>
    <row r="123" spans="1:11" s="127" customFormat="1" ht="15" customHeight="1" x14ac:dyDescent="0.25">
      <c r="A123" s="45">
        <v>112</v>
      </c>
      <c r="B123" s="47">
        <v>118</v>
      </c>
      <c r="C123" s="121" t="str">
        <f t="shared" si="18"/>
        <v>CZE19970110</v>
      </c>
      <c r="D123" s="122" t="str">
        <f t="shared" si="19"/>
        <v xml:space="preserve">KŘIKAVA Jakub </v>
      </c>
      <c r="E123" s="123" t="str">
        <f t="shared" si="20"/>
        <v xml:space="preserve">MIX3 - TJ ZČE CYKLISTIKA PLZEŇ </v>
      </c>
      <c r="F123" s="124">
        <f t="shared" si="21"/>
        <v>9167</v>
      </c>
      <c r="G123" s="125" t="str">
        <f t="shared" si="22"/>
        <v xml:space="preserve">JUNIOR </v>
      </c>
      <c r="H123" s="125" t="str">
        <f t="shared" si="23"/>
        <v>CPP</v>
      </c>
      <c r="I123" s="126">
        <v>0.452083333333339</v>
      </c>
      <c r="J123" s="70"/>
      <c r="K123" s="70"/>
    </row>
    <row r="124" spans="1:11" s="127" customFormat="1" ht="15" customHeight="1" x14ac:dyDescent="0.25">
      <c r="A124" s="45">
        <v>113</v>
      </c>
      <c r="B124" s="47">
        <v>31</v>
      </c>
      <c r="C124" s="121" t="str">
        <f t="shared" si="18"/>
        <v>GER19970806</v>
      </c>
      <c r="D124" s="122" t="str">
        <f t="shared" si="19"/>
        <v>BINAY Noah</v>
      </c>
      <c r="E124" s="123" t="str">
        <f t="shared" si="20"/>
        <v>JUNIOREN SCHWALBE TEAM SACHSEN</v>
      </c>
      <c r="F124" s="124" t="str">
        <f t="shared" si="21"/>
        <v>SAC142218</v>
      </c>
      <c r="G124" s="125" t="str">
        <f t="shared" si="22"/>
        <v xml:space="preserve">JUNIOR </v>
      </c>
      <c r="H124" s="125" t="str">
        <f t="shared" si="23"/>
        <v>SAC</v>
      </c>
      <c r="I124" s="126">
        <v>0.452777777777784</v>
      </c>
      <c r="J124" s="70"/>
      <c r="K124" s="70"/>
    </row>
    <row r="125" spans="1:11" s="127" customFormat="1" ht="15" customHeight="1" x14ac:dyDescent="0.25">
      <c r="A125" s="45">
        <v>114</v>
      </c>
      <c r="B125" s="47">
        <v>68</v>
      </c>
      <c r="C125" s="121" t="str">
        <f t="shared" si="18"/>
        <v>*BEL19980331</v>
      </c>
      <c r="D125" s="122" t="str">
        <f t="shared" si="19"/>
        <v>VAN STEENSEL Mats</v>
      </c>
      <c r="E125" s="123" t="str">
        <f t="shared" si="20"/>
        <v>WAC TEAM HOBOKEN</v>
      </c>
      <c r="F125" s="124">
        <f t="shared" si="21"/>
        <v>51298</v>
      </c>
      <c r="G125" s="125" t="str">
        <f t="shared" si="22"/>
        <v>JUNIOR *</v>
      </c>
      <c r="H125" s="125" t="str">
        <f t="shared" si="23"/>
        <v>WAC</v>
      </c>
      <c r="I125" s="126">
        <v>0.45347222222222799</v>
      </c>
      <c r="J125" s="70"/>
      <c r="K125" s="70"/>
    </row>
    <row r="126" spans="1:11" s="127" customFormat="1" ht="15" customHeight="1" x14ac:dyDescent="0.25">
      <c r="A126" s="45">
        <v>115</v>
      </c>
      <c r="B126" s="47">
        <v>58</v>
      </c>
      <c r="C126" s="121" t="str">
        <f t="shared" si="18"/>
        <v>POL19990111*</v>
      </c>
      <c r="D126" s="122" t="str">
        <f t="shared" si="19"/>
        <v xml:space="preserve">MIGAS Dawid </v>
      </c>
      <c r="E126" s="123" t="str">
        <f t="shared" si="20"/>
        <v xml:space="preserve">MIX1 - GRUPA KOLARSKA GLIWICE </v>
      </c>
      <c r="F126" s="124" t="str">
        <f t="shared" si="21"/>
        <v>SLA284</v>
      </c>
      <c r="G126" s="125" t="str">
        <f t="shared" si="22"/>
        <v>CADET</v>
      </c>
      <c r="H126" s="125" t="str">
        <f t="shared" si="23"/>
        <v>SLZ</v>
      </c>
      <c r="I126" s="126">
        <v>0.45416666666667299</v>
      </c>
      <c r="J126" s="70"/>
      <c r="K126" s="70"/>
    </row>
    <row r="127" spans="1:11" s="127" customFormat="1" ht="15" customHeight="1" x14ac:dyDescent="0.25">
      <c r="A127" s="45">
        <v>116</v>
      </c>
      <c r="B127" s="47">
        <v>54</v>
      </c>
      <c r="C127" s="121" t="str">
        <f t="shared" si="18"/>
        <v>*CZE19980726</v>
      </c>
      <c r="D127" s="122" t="str">
        <f t="shared" si="19"/>
        <v>POKORNÝ Petr</v>
      </c>
      <c r="E127" s="123" t="str">
        <f t="shared" si="20"/>
        <v>MIX1 - ACK STARÁ VES NAD ONDŘEJNICÍ</v>
      </c>
      <c r="F127" s="124">
        <f t="shared" si="21"/>
        <v>9870</v>
      </c>
      <c r="G127" s="125" t="str">
        <f t="shared" si="22"/>
        <v>JUNIOR *</v>
      </c>
      <c r="H127" s="125" t="str">
        <f t="shared" si="23"/>
        <v>SLZ</v>
      </c>
      <c r="I127" s="126">
        <v>0.45486111111111699</v>
      </c>
      <c r="J127" s="70"/>
      <c r="K127" s="70"/>
    </row>
    <row r="128" spans="1:11" s="127" customFormat="1" ht="15" customHeight="1" x14ac:dyDescent="0.25">
      <c r="A128" s="45">
        <v>117</v>
      </c>
      <c r="B128" s="47">
        <v>86</v>
      </c>
      <c r="C128" s="121" t="str">
        <f t="shared" si="18"/>
        <v>*GER19980223</v>
      </c>
      <c r="D128" s="122" t="str">
        <f t="shared" si="19"/>
        <v>PLAMBECK Philipp</v>
      </c>
      <c r="E128" s="123" t="str">
        <f t="shared" si="20"/>
        <v>GERMAN NATIONAL TEAM</v>
      </c>
      <c r="F128" s="124" t="str">
        <f t="shared" si="21"/>
        <v>HAM062726</v>
      </c>
      <c r="G128" s="125" t="str">
        <f t="shared" si="22"/>
        <v>JUNIOR *</v>
      </c>
      <c r="H128" s="125" t="str">
        <f t="shared" si="23"/>
        <v>GER</v>
      </c>
      <c r="I128" s="126">
        <v>0.45555555555556199</v>
      </c>
      <c r="J128" s="70"/>
      <c r="K128" s="70"/>
    </row>
    <row r="129" spans="1:11" s="127" customFormat="1" ht="15" customHeight="1" x14ac:dyDescent="0.25">
      <c r="A129" s="45">
        <v>118</v>
      </c>
      <c r="B129" s="47">
        <v>102</v>
      </c>
      <c r="C129" s="121" t="str">
        <f t="shared" si="18"/>
        <v>SVK19970522</v>
      </c>
      <c r="D129" s="122" t="str">
        <f t="shared" si="19"/>
        <v>KVIETOK Pavol</v>
      </c>
      <c r="E129" s="123" t="str">
        <f t="shared" si="20"/>
        <v>SLOVAK CYCLING FEDERATION</v>
      </c>
      <c r="F129" s="124" t="str">
        <f t="shared" si="21"/>
        <v>S 4591</v>
      </c>
      <c r="G129" s="125" t="str">
        <f t="shared" si="22"/>
        <v xml:space="preserve">JUNIOR </v>
      </c>
      <c r="H129" s="125" t="str">
        <f t="shared" si="23"/>
        <v>SVK</v>
      </c>
      <c r="I129" s="126">
        <v>0.45625000000000598</v>
      </c>
      <c r="J129" s="70"/>
      <c r="K129" s="70"/>
    </row>
    <row r="130" spans="1:11" s="127" customFormat="1" ht="15" customHeight="1" x14ac:dyDescent="0.25">
      <c r="A130" s="45">
        <v>119</v>
      </c>
      <c r="B130" s="47">
        <v>83</v>
      </c>
      <c r="C130" s="121" t="str">
        <f t="shared" si="18"/>
        <v>*GER19980312</v>
      </c>
      <c r="D130" s="122" t="str">
        <f t="shared" si="19"/>
        <v>MÖBIS Maximilian</v>
      </c>
      <c r="E130" s="123" t="str">
        <f t="shared" si="20"/>
        <v>GERMAN NATIONAL TEAM</v>
      </c>
      <c r="F130" s="124" t="str">
        <f t="shared" si="21"/>
        <v>BER032252</v>
      </c>
      <c r="G130" s="125" t="str">
        <f t="shared" si="22"/>
        <v>JUNIOR *</v>
      </c>
      <c r="H130" s="125" t="str">
        <f t="shared" si="23"/>
        <v>GER</v>
      </c>
      <c r="I130" s="126">
        <v>0.45694444444445098</v>
      </c>
      <c r="J130" s="70"/>
      <c r="K130" s="70"/>
    </row>
    <row r="131" spans="1:11" s="127" customFormat="1" ht="15" customHeight="1" x14ac:dyDescent="0.25">
      <c r="A131" s="45">
        <v>120</v>
      </c>
      <c r="B131" s="47">
        <v>63</v>
      </c>
      <c r="C131" s="121" t="str">
        <f t="shared" si="18"/>
        <v>*BEL19980926</v>
      </c>
      <c r="D131" s="122" t="str">
        <f t="shared" si="19"/>
        <v>HUYGEN Wout</v>
      </c>
      <c r="E131" s="123" t="str">
        <f t="shared" si="20"/>
        <v>WAC TEAM HOBOKEN</v>
      </c>
      <c r="F131" s="124">
        <f t="shared" si="21"/>
        <v>57574</v>
      </c>
      <c r="G131" s="125" t="str">
        <f t="shared" si="22"/>
        <v>JUNIOR *</v>
      </c>
      <c r="H131" s="125" t="str">
        <f t="shared" si="23"/>
        <v>WAC</v>
      </c>
      <c r="I131" s="126">
        <v>0.45763888888889498</v>
      </c>
      <c r="J131" s="70"/>
      <c r="K131" s="70"/>
    </row>
    <row r="132" spans="1:11" s="127" customFormat="1" ht="15" customHeight="1" x14ac:dyDescent="0.25">
      <c r="A132" s="45">
        <v>121</v>
      </c>
      <c r="B132" s="47">
        <v>163</v>
      </c>
      <c r="C132" s="121" t="str">
        <f t="shared" si="18"/>
        <v>*AUT19980813</v>
      </c>
      <c r="D132" s="122" t="str">
        <f t="shared" si="19"/>
        <v>IRENDORFER Moritz</v>
      </c>
      <c r="E132" s="123" t="str">
        <f t="shared" si="20"/>
        <v>LRV STEIERMARK</v>
      </c>
      <c r="F132" s="124">
        <f t="shared" si="21"/>
        <v>100291</v>
      </c>
      <c r="G132" s="125" t="str">
        <f t="shared" si="22"/>
        <v>JUNIOR *</v>
      </c>
      <c r="H132" s="125" t="str">
        <f t="shared" si="23"/>
        <v>LRS</v>
      </c>
      <c r="I132" s="126">
        <v>0.45833333333333998</v>
      </c>
      <c r="J132" s="70"/>
      <c r="K132" s="70"/>
    </row>
    <row r="133" spans="1:11" s="127" customFormat="1" ht="15" customHeight="1" x14ac:dyDescent="0.25">
      <c r="A133" s="45">
        <v>122</v>
      </c>
      <c r="B133" s="47">
        <v>53</v>
      </c>
      <c r="C133" s="121" t="str">
        <f t="shared" si="18"/>
        <v>CZE20001009*</v>
      </c>
      <c r="D133" s="122" t="str">
        <f t="shared" si="19"/>
        <v>MIKŠANÍK Vladimír</v>
      </c>
      <c r="E133" s="123" t="str">
        <f t="shared" si="20"/>
        <v>MIX1 - ACK STARÁ VES NAD ONDŘEJNICÍ</v>
      </c>
      <c r="F133" s="124">
        <f t="shared" si="21"/>
        <v>15169</v>
      </c>
      <c r="G133" s="125" t="str">
        <f t="shared" si="22"/>
        <v>CADET</v>
      </c>
      <c r="H133" s="125" t="str">
        <f t="shared" si="23"/>
        <v>SLZ</v>
      </c>
      <c r="I133" s="126">
        <v>0.45902777777778397</v>
      </c>
      <c r="J133" s="70"/>
      <c r="K133" s="70"/>
    </row>
    <row r="134" spans="1:11" s="127" customFormat="1" ht="15" customHeight="1" x14ac:dyDescent="0.25">
      <c r="A134" s="45">
        <v>123</v>
      </c>
      <c r="B134" s="47">
        <v>101</v>
      </c>
      <c r="C134" s="121" t="str">
        <f t="shared" si="18"/>
        <v>SVK19971212</v>
      </c>
      <c r="D134" s="122" t="str">
        <f t="shared" si="19"/>
        <v>KOVÁČIK Vladimír</v>
      </c>
      <c r="E134" s="123" t="str">
        <f t="shared" si="20"/>
        <v>SLOVAK CYCLING FEDERATION</v>
      </c>
      <c r="F134" s="124" t="str">
        <f t="shared" si="21"/>
        <v>S 5733</v>
      </c>
      <c r="G134" s="125" t="str">
        <f t="shared" si="22"/>
        <v xml:space="preserve">JUNIOR </v>
      </c>
      <c r="H134" s="125" t="str">
        <f t="shared" si="23"/>
        <v>SVK</v>
      </c>
      <c r="I134" s="126">
        <v>0.45972222222222903</v>
      </c>
      <c r="J134" s="70"/>
      <c r="K134" s="70"/>
    </row>
    <row r="135" spans="1:11" s="127" customFormat="1" ht="15" customHeight="1" x14ac:dyDescent="0.25">
      <c r="A135" s="45">
        <v>124</v>
      </c>
      <c r="B135" s="47">
        <v>112</v>
      </c>
      <c r="C135" s="121" t="str">
        <f t="shared" si="18"/>
        <v>*CZE19980616</v>
      </c>
      <c r="D135" s="122" t="str">
        <f t="shared" si="19"/>
        <v xml:space="preserve">DRDEK Dominik </v>
      </c>
      <c r="E135" s="123" t="str">
        <f t="shared" si="20"/>
        <v xml:space="preserve">MIX3 - ČEZ CYKLO TEAM TÁBOR </v>
      </c>
      <c r="F135" s="124">
        <f t="shared" si="21"/>
        <v>8397</v>
      </c>
      <c r="G135" s="125" t="str">
        <f t="shared" si="22"/>
        <v>JUNIOR *</v>
      </c>
      <c r="H135" s="125" t="str">
        <f t="shared" si="23"/>
        <v>CPP</v>
      </c>
      <c r="I135" s="126">
        <v>0.46041666666667302</v>
      </c>
      <c r="J135" s="70"/>
      <c r="K135" s="70"/>
    </row>
    <row r="136" spans="1:11" s="127" customFormat="1" ht="15" customHeight="1" x14ac:dyDescent="0.25">
      <c r="A136" s="45">
        <v>125</v>
      </c>
      <c r="B136" s="47">
        <v>95</v>
      </c>
      <c r="C136" s="121" t="str">
        <f t="shared" si="18"/>
        <v>*GER19981026</v>
      </c>
      <c r="D136" s="122" t="str">
        <f t="shared" si="19"/>
        <v>KUNERT Pepe</v>
      </c>
      <c r="E136" s="123" t="str">
        <f t="shared" si="20"/>
        <v>RG BERLIN</v>
      </c>
      <c r="F136" s="124" t="str">
        <f t="shared" si="21"/>
        <v>BER032402</v>
      </c>
      <c r="G136" s="125" t="str">
        <f t="shared" si="22"/>
        <v>JUNIOR *</v>
      </c>
      <c r="H136" s="125" t="str">
        <f t="shared" si="23"/>
        <v>RGB</v>
      </c>
      <c r="I136" s="126">
        <v>0.46111111111111802</v>
      </c>
      <c r="J136" s="70"/>
      <c r="K136" s="70"/>
    </row>
    <row r="137" spans="1:11" s="127" customFormat="1" ht="15" customHeight="1" x14ac:dyDescent="0.25">
      <c r="A137" s="45">
        <v>126</v>
      </c>
      <c r="B137" s="47">
        <v>11</v>
      </c>
      <c r="C137" s="121" t="str">
        <f t="shared" si="18"/>
        <v>GER19970217</v>
      </c>
      <c r="D137" s="122" t="str">
        <f t="shared" si="19"/>
        <v>SCHMIEDEL Sebastian</v>
      </c>
      <c r="E137" s="123" t="str">
        <f t="shared" si="20"/>
        <v>THÜRINGER RADSPORT VERBAND</v>
      </c>
      <c r="F137" s="124" t="str">
        <f t="shared" si="21"/>
        <v>THÜ134870</v>
      </c>
      <c r="G137" s="125" t="str">
        <f t="shared" si="22"/>
        <v xml:space="preserve">JUNIOR </v>
      </c>
      <c r="H137" s="125" t="str">
        <f t="shared" si="23"/>
        <v>THU</v>
      </c>
      <c r="I137" s="126">
        <v>0.46180555555556202</v>
      </c>
      <c r="J137" s="70"/>
      <c r="K137" s="70"/>
    </row>
    <row r="138" spans="1:11" s="127" customFormat="1" ht="15" customHeight="1" x14ac:dyDescent="0.25">
      <c r="A138" s="45">
        <v>127</v>
      </c>
      <c r="B138" s="47">
        <v>114</v>
      </c>
      <c r="C138" s="121" t="str">
        <f t="shared" si="18"/>
        <v>CZE19991205*</v>
      </c>
      <c r="D138" s="122" t="str">
        <f t="shared" si="19"/>
        <v xml:space="preserve">SYROVÁTKA Matěj </v>
      </c>
      <c r="E138" s="123" t="str">
        <f t="shared" si="20"/>
        <v xml:space="preserve">MIX3 - ČEZ CYKLO TEAM TÁBOR </v>
      </c>
      <c r="F138" s="124">
        <f t="shared" si="21"/>
        <v>19867</v>
      </c>
      <c r="G138" s="125" t="str">
        <f t="shared" si="22"/>
        <v>CADET</v>
      </c>
      <c r="H138" s="125" t="str">
        <f t="shared" si="23"/>
        <v>CPP</v>
      </c>
      <c r="I138" s="126">
        <v>0.46250000000000702</v>
      </c>
      <c r="J138" s="70"/>
      <c r="K138" s="70"/>
    </row>
    <row r="139" spans="1:11" s="127" customFormat="1" ht="15" customHeight="1" x14ac:dyDescent="0.25">
      <c r="A139" s="45">
        <v>128</v>
      </c>
      <c r="B139" s="47">
        <v>43</v>
      </c>
      <c r="C139" s="121" t="str">
        <f t="shared" si="18"/>
        <v>*CZE19981115</v>
      </c>
      <c r="D139" s="122" t="str">
        <f t="shared" si="19"/>
        <v xml:space="preserve">KOČAŘÍK Václav </v>
      </c>
      <c r="E139" s="123" t="str">
        <f t="shared" si="20"/>
        <v xml:space="preserve">SKC TUFO PROSTĚJOV </v>
      </c>
      <c r="F139" s="124">
        <f t="shared" si="21"/>
        <v>9513</v>
      </c>
      <c r="G139" s="125" t="str">
        <f t="shared" si="22"/>
        <v>JUNIOR *</v>
      </c>
      <c r="H139" s="125" t="str">
        <f t="shared" si="23"/>
        <v>STP</v>
      </c>
      <c r="I139" s="126">
        <v>0.46319444444445101</v>
      </c>
      <c r="J139" s="70"/>
      <c r="K139" s="70"/>
    </row>
    <row r="140" spans="1:11" s="127" customFormat="1" ht="15" customHeight="1" x14ac:dyDescent="0.25">
      <c r="A140" s="45">
        <v>129</v>
      </c>
      <c r="B140" s="47">
        <v>136</v>
      </c>
      <c r="C140" s="121" t="str">
        <f t="shared" si="18"/>
        <v>*SVK19980617</v>
      </c>
      <c r="D140" s="122" t="str">
        <f t="shared" si="19"/>
        <v>KLÁTIK David</v>
      </c>
      <c r="E140" s="123" t="str">
        <f t="shared" si="20"/>
        <v>MIX5 - TJ SLAVIA SG TRENČÍN</v>
      </c>
      <c r="F140" s="124" t="str">
        <f t="shared" si="21"/>
        <v>S 6351</v>
      </c>
      <c r="G140" s="125" t="str">
        <f t="shared" si="22"/>
        <v>JUNIOR *</v>
      </c>
      <c r="H140" s="125" t="str">
        <f t="shared" si="23"/>
        <v>SGT</v>
      </c>
      <c r="I140" s="126">
        <v>0.46388888888889601</v>
      </c>
      <c r="J140" s="70"/>
      <c r="K140" s="70"/>
    </row>
    <row r="141" spans="1:11" s="127" customFormat="1" ht="15" customHeight="1" x14ac:dyDescent="0.25">
      <c r="A141" s="45">
        <v>130</v>
      </c>
      <c r="B141" s="47">
        <v>81</v>
      </c>
      <c r="C141" s="121" t="str">
        <f t="shared" si="18"/>
        <v>*GER19980505</v>
      </c>
      <c r="D141" s="122" t="str">
        <f t="shared" si="19"/>
        <v>HAUPT Tarik</v>
      </c>
      <c r="E141" s="123" t="str">
        <f t="shared" si="20"/>
        <v>GERMAN NATIONAL TEAM</v>
      </c>
      <c r="F141" s="124" t="str">
        <f t="shared" si="21"/>
        <v>BER032308</v>
      </c>
      <c r="G141" s="125" t="str">
        <f t="shared" si="22"/>
        <v>JUNIOR *</v>
      </c>
      <c r="H141" s="125" t="str">
        <f t="shared" si="23"/>
        <v>GER</v>
      </c>
      <c r="I141" s="126">
        <v>0.46458333333334001</v>
      </c>
      <c r="J141" s="70"/>
      <c r="K141" s="70"/>
    </row>
    <row r="142" spans="1:11" s="127" customFormat="1" ht="15" customHeight="1" x14ac:dyDescent="0.25">
      <c r="A142" s="45">
        <v>131</v>
      </c>
      <c r="B142" s="47">
        <v>156</v>
      </c>
      <c r="C142" s="121" t="str">
        <f t="shared" si="18"/>
        <v>AUT19971004</v>
      </c>
      <c r="D142" s="122" t="str">
        <f t="shared" si="19"/>
        <v>GRUBER Julian</v>
      </c>
      <c r="E142" s="123" t="str">
        <f t="shared" si="20"/>
        <v>MIX7 - RLM WIEN (RADLEISTUNGSMODELL WIEN)</v>
      </c>
      <c r="F142" s="124">
        <f t="shared" si="21"/>
        <v>100044</v>
      </c>
      <c r="G142" s="125" t="str">
        <f t="shared" si="22"/>
        <v xml:space="preserve">JUNIOR </v>
      </c>
      <c r="H142" s="125" t="str">
        <f t="shared" si="23"/>
        <v>RLM</v>
      </c>
      <c r="I142" s="126">
        <v>0.46527777777778501</v>
      </c>
      <c r="J142" s="70"/>
      <c r="K142" s="70"/>
    </row>
    <row r="143" spans="1:11" s="127" customFormat="1" ht="15" customHeight="1" x14ac:dyDescent="0.25">
      <c r="A143" s="45">
        <v>132</v>
      </c>
      <c r="B143" s="47">
        <v>75</v>
      </c>
      <c r="C143" s="121" t="str">
        <f t="shared" si="18"/>
        <v>CZE19970804</v>
      </c>
      <c r="D143" s="122" t="str">
        <f t="shared" si="19"/>
        <v xml:space="preserve">SPUDIL Martin </v>
      </c>
      <c r="E143" s="123" t="str">
        <f t="shared" si="20"/>
        <v xml:space="preserve">MIX2  - SP KOLO LOAP SPECIALIZED </v>
      </c>
      <c r="F143" s="124">
        <f t="shared" si="21"/>
        <v>10880</v>
      </c>
      <c r="G143" s="125" t="str">
        <f t="shared" si="22"/>
        <v xml:space="preserve">JUNIOR </v>
      </c>
      <c r="H143" s="125" t="str">
        <f t="shared" si="23"/>
        <v>KOV</v>
      </c>
      <c r="I143" s="126">
        <v>0.465972222222229</v>
      </c>
      <c r="J143" s="70"/>
      <c r="K143" s="70"/>
    </row>
    <row r="144" spans="1:11" s="127" customFormat="1" ht="15" customHeight="1" x14ac:dyDescent="0.25">
      <c r="A144" s="45">
        <v>133</v>
      </c>
      <c r="B144" s="47">
        <v>73</v>
      </c>
      <c r="C144" s="121" t="str">
        <f t="shared" si="18"/>
        <v>CZE19991022*</v>
      </c>
      <c r="D144" s="122" t="str">
        <f t="shared" si="19"/>
        <v xml:space="preserve">BABOR Daniel </v>
      </c>
      <c r="E144" s="123" t="str">
        <f t="shared" si="20"/>
        <v xml:space="preserve">MIX2  - TJ KOVO PRAHA </v>
      </c>
      <c r="F144" s="124">
        <f t="shared" si="21"/>
        <v>10972</v>
      </c>
      <c r="G144" s="125" t="str">
        <f t="shared" si="22"/>
        <v>CADET</v>
      </c>
      <c r="H144" s="125" t="str">
        <f t="shared" si="23"/>
        <v>KOV</v>
      </c>
      <c r="I144" s="126">
        <v>0.466666666666674</v>
      </c>
      <c r="J144" s="70"/>
      <c r="K144" s="70"/>
    </row>
    <row r="145" spans="1:11" s="127" customFormat="1" ht="15" customHeight="1" x14ac:dyDescent="0.25">
      <c r="A145" s="45">
        <v>134</v>
      </c>
      <c r="B145" s="47">
        <v>158</v>
      </c>
      <c r="C145" s="121" t="str">
        <f t="shared" si="18"/>
        <v>POL19971016</v>
      </c>
      <c r="D145" s="122" t="str">
        <f t="shared" si="19"/>
        <v>KUKLEWICZ Karol</v>
      </c>
      <c r="E145" s="123" t="str">
        <f t="shared" si="20"/>
        <v>MIX7 - MLKS WIELUŃ</v>
      </c>
      <c r="F145" s="124" t="str">
        <f t="shared" si="21"/>
        <v>LOD009</v>
      </c>
      <c r="G145" s="125" t="str">
        <f t="shared" si="22"/>
        <v xml:space="preserve">JUNIOR </v>
      </c>
      <c r="H145" s="125" t="str">
        <f t="shared" si="23"/>
        <v>RLM</v>
      </c>
      <c r="I145" s="126">
        <v>0.467361111111118</v>
      </c>
      <c r="J145" s="70"/>
      <c r="K145" s="70"/>
    </row>
    <row r="146" spans="1:11" s="127" customFormat="1" ht="15" customHeight="1" x14ac:dyDescent="0.25">
      <c r="A146" s="45">
        <v>135</v>
      </c>
      <c r="B146" s="47">
        <v>84</v>
      </c>
      <c r="C146" s="121" t="str">
        <f t="shared" si="18"/>
        <v>*GER19981211</v>
      </c>
      <c r="D146" s="122" t="str">
        <f t="shared" si="19"/>
        <v>RUDOLPH Poul</v>
      </c>
      <c r="E146" s="123" t="str">
        <f t="shared" si="20"/>
        <v>GERMAN NATIONAL TEAM</v>
      </c>
      <c r="F146" s="124" t="str">
        <f t="shared" si="21"/>
        <v>BER032411</v>
      </c>
      <c r="G146" s="125" t="str">
        <f t="shared" si="22"/>
        <v>JUNIOR *</v>
      </c>
      <c r="H146" s="125" t="str">
        <f t="shared" si="23"/>
        <v>GER</v>
      </c>
      <c r="I146" s="126">
        <v>0.468055555555563</v>
      </c>
      <c r="J146" s="70"/>
      <c r="K146" s="70"/>
    </row>
    <row r="147" spans="1:11" s="127" customFormat="1" ht="15" customHeight="1" x14ac:dyDescent="0.25">
      <c r="A147" s="45">
        <v>136</v>
      </c>
      <c r="B147" s="47">
        <v>2</v>
      </c>
      <c r="C147" s="121" t="str">
        <f t="shared" si="18"/>
        <v>GER19970122</v>
      </c>
      <c r="D147" s="122" t="str">
        <f t="shared" si="19"/>
        <v>BERAN Andy</v>
      </c>
      <c r="E147" s="123" t="str">
        <f t="shared" si="20"/>
        <v>RSC COTTBUS</v>
      </c>
      <c r="F147" s="124" t="str">
        <f t="shared" si="21"/>
        <v>BRA604254</v>
      </c>
      <c r="G147" s="125" t="str">
        <f t="shared" si="22"/>
        <v xml:space="preserve">JUNIOR </v>
      </c>
      <c r="H147" s="125" t="str">
        <f t="shared" si="23"/>
        <v>COT</v>
      </c>
      <c r="I147" s="126">
        <v>0.46875000000000699</v>
      </c>
      <c r="J147" s="70"/>
      <c r="K147" s="70"/>
    </row>
    <row r="148" spans="1:11" s="127" customFormat="1" ht="15" customHeight="1" x14ac:dyDescent="0.25">
      <c r="A148" s="45">
        <v>137</v>
      </c>
      <c r="B148" s="47">
        <v>34</v>
      </c>
      <c r="C148" s="121" t="str">
        <f t="shared" si="18"/>
        <v>GER19970125</v>
      </c>
      <c r="D148" s="122" t="str">
        <f t="shared" si="19"/>
        <v>FRANZ Toni</v>
      </c>
      <c r="E148" s="123" t="str">
        <f t="shared" si="20"/>
        <v>JUNIOREN SCHWALBE TEAM SACHSEN</v>
      </c>
      <c r="F148" s="124" t="str">
        <f t="shared" si="21"/>
        <v>SAC134961</v>
      </c>
      <c r="G148" s="125" t="str">
        <f t="shared" si="22"/>
        <v xml:space="preserve">JUNIOR </v>
      </c>
      <c r="H148" s="125" t="str">
        <f t="shared" si="23"/>
        <v>SAC</v>
      </c>
      <c r="I148" s="126">
        <v>0.46944444444445199</v>
      </c>
      <c r="J148" s="70"/>
      <c r="K148" s="70"/>
    </row>
    <row r="149" spans="1:11" s="3" customFormat="1" ht="14.4" x14ac:dyDescent="0.3">
      <c r="A149" s="54"/>
      <c r="B149" s="55" t="str">
        <f ca="1">INDIRECT("NRIDERS"&amp;(RIGHT(A3,1)))</f>
        <v>počet závodíků / num. of riders: 137</v>
      </c>
      <c r="C149" s="55"/>
      <c r="D149" s="44"/>
      <c r="E149" s="73"/>
      <c r="F149" s="54"/>
      <c r="G149" s="54"/>
      <c r="H149" s="54"/>
      <c r="I149" s="54"/>
      <c r="J149" s="54"/>
      <c r="K149" s="54"/>
    </row>
    <row r="150" spans="1:11" s="57" customFormat="1" ht="15" customHeight="1" x14ac:dyDescent="0.3">
      <c r="B150" s="128"/>
      <c r="C150" s="36"/>
      <c r="D150" s="129"/>
      <c r="E150" s="130"/>
    </row>
    <row r="151" spans="1:11" s="57" customFormat="1" ht="15" customHeight="1" x14ac:dyDescent="0.3">
      <c r="B151" s="128"/>
      <c r="C151" s="36"/>
      <c r="D151" s="131"/>
      <c r="E151" s="130"/>
    </row>
    <row r="152" spans="1:11" s="57" customFormat="1" ht="15" customHeight="1" x14ac:dyDescent="0.3">
      <c r="B152" s="128"/>
      <c r="C152" s="36"/>
      <c r="D152" s="129"/>
      <c r="E152" s="130"/>
    </row>
    <row r="167" spans="1:11" ht="6" customHeight="1" x14ac:dyDescent="0.25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</row>
    <row r="168" spans="1:11" x14ac:dyDescent="0.25">
      <c r="A168" s="76"/>
      <c r="B168" s="76"/>
      <c r="C168" s="77"/>
      <c r="D168" s="76"/>
      <c r="E168" s="76"/>
      <c r="F168" s="76"/>
      <c r="G168" s="76"/>
      <c r="H168" s="76"/>
      <c r="I168" s="76"/>
      <c r="J168" s="76"/>
      <c r="K168" s="76"/>
    </row>
    <row r="169" spans="1:11" x14ac:dyDescent="0.25">
      <c r="A169" s="76"/>
      <c r="B169" s="76"/>
      <c r="C169" s="77"/>
      <c r="D169" s="76"/>
      <c r="E169" s="76"/>
      <c r="F169" s="76"/>
      <c r="G169" s="76"/>
      <c r="H169" s="76"/>
      <c r="I169" s="76"/>
      <c r="J169" s="76"/>
      <c r="K169" s="76"/>
    </row>
    <row r="170" spans="1:11" x14ac:dyDescent="0.25">
      <c r="A170" s="76"/>
      <c r="B170" s="76"/>
      <c r="C170" s="77"/>
      <c r="D170" s="76"/>
      <c r="E170" s="76"/>
      <c r="F170" s="76"/>
      <c r="G170" s="76"/>
      <c r="H170" s="76"/>
      <c r="I170" s="76"/>
      <c r="J170" s="76"/>
      <c r="K170" s="76"/>
    </row>
    <row r="171" spans="1:11" x14ac:dyDescent="0.25">
      <c r="A171" s="76"/>
      <c r="B171" s="76"/>
      <c r="C171" s="77"/>
      <c r="D171" s="76"/>
      <c r="E171" s="76"/>
      <c r="F171" s="76"/>
      <c r="G171" s="76"/>
      <c r="H171" s="76"/>
      <c r="I171" s="76"/>
      <c r="J171" s="76"/>
      <c r="K171" s="76"/>
    </row>
    <row r="172" spans="1:11" x14ac:dyDescent="0.25">
      <c r="A172" s="76"/>
      <c r="B172" s="76"/>
      <c r="C172" s="77"/>
      <c r="D172" s="76"/>
      <c r="E172" s="76"/>
      <c r="F172" s="76"/>
      <c r="G172" s="76"/>
      <c r="H172" s="76"/>
      <c r="I172" s="76"/>
      <c r="J172" s="76"/>
      <c r="K172" s="76"/>
    </row>
    <row r="173" spans="1:11" x14ac:dyDescent="0.25">
      <c r="A173" s="76"/>
      <c r="B173" s="76"/>
      <c r="C173" s="77"/>
      <c r="D173" s="76"/>
      <c r="E173" s="76"/>
      <c r="F173" s="76"/>
      <c r="G173" s="76"/>
      <c r="H173" s="76"/>
      <c r="I173" s="76"/>
      <c r="J173" s="76"/>
      <c r="K173" s="76"/>
    </row>
    <row r="174" spans="1:11" x14ac:dyDescent="0.25">
      <c r="A174" s="76"/>
      <c r="B174" s="76"/>
      <c r="C174" s="77"/>
      <c r="D174" s="76"/>
      <c r="E174" s="76"/>
      <c r="F174" s="76"/>
      <c r="G174" s="76"/>
      <c r="H174" s="76"/>
      <c r="I174" s="76"/>
      <c r="J174" s="76"/>
      <c r="K174" s="76"/>
    </row>
    <row r="175" spans="1:11" ht="6" customHeight="1" x14ac:dyDescent="0.25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</row>
    <row r="176" spans="1:11" ht="11.4" customHeight="1" x14ac:dyDescent="0.25">
      <c r="A176" s="335" t="s">
        <v>40</v>
      </c>
      <c r="B176" s="335"/>
      <c r="C176" s="335"/>
      <c r="D176" s="335"/>
      <c r="E176" s="335"/>
      <c r="F176" s="335"/>
      <c r="G176" s="335"/>
      <c r="H176" s="335"/>
      <c r="I176" s="335"/>
      <c r="J176" s="335"/>
      <c r="K176" s="335"/>
    </row>
  </sheetData>
  <sortState ref="B59:F60">
    <sortCondition ref="B59"/>
  </sortState>
  <mergeCells count="6">
    <mergeCell ref="A176:K176"/>
    <mergeCell ref="A1:K1"/>
    <mergeCell ref="A2:K2"/>
    <mergeCell ref="D3:H3"/>
    <mergeCell ref="A5:K5"/>
    <mergeCell ref="A10:K10"/>
  </mergeCells>
  <pageMargins left="0.46" right="0.55118110236220474" top="0.36" bottom="0.31" header="0.33" footer="0.19685039370078741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36"/>
  <sheetViews>
    <sheetView zoomScale="40" zoomScaleNormal="40" workbookViewId="0">
      <selection sqref="A1:O1"/>
    </sheetView>
  </sheetViews>
  <sheetFormatPr defaultColWidth="8.88671875" defaultRowHeight="13.8" x14ac:dyDescent="0.3"/>
  <cols>
    <col min="1" max="1" width="4.88671875" style="3" customWidth="1"/>
    <col min="2" max="2" width="5.6640625" style="3" customWidth="1"/>
    <col min="3" max="3" width="11.44140625" style="36" bestFit="1" customWidth="1"/>
    <col min="4" max="4" width="19.44140625" style="3" customWidth="1"/>
    <col min="5" max="5" width="5.44140625" style="3" customWidth="1"/>
    <col min="6" max="6" width="12.6640625" style="3" customWidth="1"/>
    <col min="7" max="7" width="7.88671875" style="3" customWidth="1"/>
    <col min="8" max="8" width="1.33203125" style="18" customWidth="1"/>
    <col min="9" max="9" width="4.88671875" style="3" customWidth="1"/>
    <col min="10" max="10" width="5.6640625" style="3" customWidth="1"/>
    <col min="11" max="11" width="11.44140625" style="36" bestFit="1" customWidth="1"/>
    <col min="12" max="12" width="19.44140625" style="3" customWidth="1"/>
    <col min="13" max="13" width="5.44140625" style="3" customWidth="1"/>
    <col min="14" max="14" width="12.6640625" style="3" customWidth="1"/>
    <col min="15" max="15" width="7.88671875" style="3" customWidth="1"/>
    <col min="16" max="16" width="4.88671875" style="3" customWidth="1"/>
    <col min="17" max="17" width="5.6640625" style="3" customWidth="1"/>
    <col min="18" max="18" width="11.44140625" style="36" bestFit="1" customWidth="1"/>
    <col min="19" max="19" width="19.44140625" style="3" customWidth="1"/>
    <col min="20" max="20" width="5.44140625" style="3" customWidth="1"/>
    <col min="21" max="21" width="12.6640625" style="3" customWidth="1"/>
    <col min="22" max="22" width="7.88671875" style="3" customWidth="1"/>
    <col min="23" max="23" width="1.33203125" style="18" customWidth="1"/>
    <col min="24" max="24" width="4.88671875" style="3" customWidth="1"/>
    <col min="25" max="25" width="5.6640625" style="3" customWidth="1"/>
    <col min="26" max="26" width="11.44140625" style="36" bestFit="1" customWidth="1"/>
    <col min="27" max="27" width="19.44140625" style="3" customWidth="1"/>
    <col min="28" max="28" width="5.44140625" style="3" customWidth="1"/>
    <col min="29" max="29" width="12.6640625" style="3" customWidth="1"/>
    <col min="30" max="30" width="7.88671875" style="3" customWidth="1"/>
    <col min="31" max="31" width="4.88671875" style="3" customWidth="1"/>
    <col min="32" max="32" width="5.6640625" style="3" customWidth="1"/>
    <col min="33" max="33" width="11.44140625" style="36" bestFit="1" customWidth="1"/>
    <col min="34" max="34" width="19.44140625" style="3" customWidth="1"/>
    <col min="35" max="35" width="5.44140625" style="3" customWidth="1"/>
    <col min="36" max="36" width="12.6640625" style="3" customWidth="1"/>
    <col min="37" max="37" width="7.88671875" style="3" customWidth="1"/>
    <col min="38" max="38" width="1.33203125" style="18" customWidth="1"/>
    <col min="39" max="39" width="4.88671875" style="3" customWidth="1"/>
    <col min="40" max="40" width="5.6640625" style="3" customWidth="1"/>
    <col min="41" max="41" width="11.44140625" style="36" bestFit="1" customWidth="1"/>
    <col min="42" max="42" width="19.44140625" style="3" customWidth="1"/>
    <col min="43" max="43" width="5.44140625" style="3" customWidth="1"/>
    <col min="44" max="44" width="12.6640625" style="3" customWidth="1"/>
    <col min="45" max="45" width="7.88671875" style="3" customWidth="1"/>
    <col min="46" max="16384" width="8.88671875" style="18"/>
  </cols>
  <sheetData>
    <row r="1" spans="1:45" s="29" customFormat="1" ht="33.75" customHeight="1" x14ac:dyDescent="0.45">
      <c r="A1" s="344" t="str">
        <f>CTRL!B7</f>
        <v>R E G I O N E M   O R L I C K A   L A N Š K R O U N   2 0 1 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 t="str">
        <f>CTRL!B7</f>
        <v>R E G I O N E M   O R L I C K A   L A N Š K R O U N   2 0 1 5</v>
      </c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 t="str">
        <f>CTRL!B7</f>
        <v>R E G I O N E M   O R L I C K A   L A N Š K R O U N   2 0 1 5</v>
      </c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</row>
    <row r="2" spans="1:45" ht="15.6" x14ac:dyDescent="0.25">
      <c r="A2" s="337" t="str">
        <f>CTRL!B8</f>
        <v>29. ročník mezinárodního cyklistického závodu juniorů / 29th edition of international cycling race of juniors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 t="str">
        <f>CTRL!B8</f>
        <v>29. ročník mezinárodního cyklistického závodu juniorů / 29th edition of international cycling race of juniors</v>
      </c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 t="str">
        <f>CTRL!B8</f>
        <v>29. ročník mezinárodního cyklistického závodu juniorů / 29th edition of international cycling race of juniors</v>
      </c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</row>
    <row r="3" spans="1:45" s="33" customFormat="1" ht="18" x14ac:dyDescent="0.35">
      <c r="A3" s="30" t="str">
        <f ca="1">MID(CELL("filename",A1),FIND("]",CELL("filename",A1))+1,256)</f>
        <v>PA1</v>
      </c>
      <c r="B3" s="31"/>
      <c r="C3" s="32"/>
      <c r="D3" s="338" t="str">
        <f ca="1">INDIRECT("NAZE"&amp;(RIGHT(A3,1)))</f>
        <v>1. etapa / 1st Stage</v>
      </c>
      <c r="E3" s="338"/>
      <c r="F3" s="338"/>
      <c r="G3" s="338"/>
      <c r="H3" s="338"/>
      <c r="I3" s="338"/>
      <c r="J3" s="338"/>
      <c r="K3" s="338"/>
      <c r="L3" s="338"/>
      <c r="M3" s="338"/>
      <c r="O3" s="34"/>
      <c r="P3" s="31"/>
      <c r="Q3" s="31"/>
      <c r="R3" s="32"/>
      <c r="S3" s="338" t="str">
        <f ca="1">INDIRECT("NAZE"&amp;(RIGHT(A3,1)))</f>
        <v>1. etapa / 1st Stage</v>
      </c>
      <c r="T3" s="338"/>
      <c r="U3" s="338"/>
      <c r="V3" s="338"/>
      <c r="W3" s="338"/>
      <c r="X3" s="338"/>
      <c r="Y3" s="338"/>
      <c r="Z3" s="338"/>
      <c r="AA3" s="338"/>
      <c r="AB3" s="338"/>
      <c r="AD3" s="34"/>
      <c r="AE3" s="31"/>
      <c r="AF3" s="31"/>
      <c r="AG3" s="32"/>
      <c r="AH3" s="338" t="str">
        <f ca="1">INDIRECT("NAZE"&amp;(RIGHT(A3,1)))</f>
        <v>1. etapa / 1st Stage</v>
      </c>
      <c r="AI3" s="338"/>
      <c r="AJ3" s="338"/>
      <c r="AK3" s="338"/>
      <c r="AL3" s="338"/>
      <c r="AM3" s="338"/>
      <c r="AN3" s="338"/>
      <c r="AO3" s="338"/>
      <c r="AP3" s="338"/>
      <c r="AQ3" s="338"/>
      <c r="AS3" s="34"/>
    </row>
    <row r="4" spans="1:45" s="35" customFormat="1" ht="29.25" customHeight="1" x14ac:dyDescent="0.4">
      <c r="A4" s="339" t="s">
        <v>51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45" t="s">
        <v>51</v>
      </c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 t="s">
        <v>51</v>
      </c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</row>
    <row r="5" spans="1:45" ht="9" customHeight="1" x14ac:dyDescent="0.3">
      <c r="H5" s="3"/>
      <c r="K5" s="3"/>
      <c r="L5" s="18"/>
      <c r="M5" s="18"/>
      <c r="N5" s="18"/>
      <c r="O5" s="18"/>
      <c r="W5" s="3"/>
      <c r="Z5" s="3"/>
      <c r="AA5" s="18"/>
      <c r="AB5" s="18"/>
      <c r="AC5" s="18"/>
      <c r="AD5" s="18"/>
      <c r="AL5" s="3"/>
      <c r="AO5" s="3"/>
      <c r="AP5" s="18"/>
      <c r="AQ5" s="18"/>
      <c r="AR5" s="18"/>
      <c r="AS5" s="18"/>
    </row>
    <row r="6" spans="1:45" ht="13.2" x14ac:dyDescent="0.25">
      <c r="A6" s="37"/>
      <c r="B6" s="37" t="s">
        <v>1</v>
      </c>
      <c r="C6" s="37" t="s">
        <v>2</v>
      </c>
      <c r="D6" s="37" t="s">
        <v>3</v>
      </c>
      <c r="E6" s="37"/>
      <c r="F6" s="37" t="s">
        <v>52</v>
      </c>
      <c r="G6" s="37"/>
      <c r="H6" s="37"/>
      <c r="I6" s="37"/>
      <c r="J6" s="37" t="s">
        <v>1</v>
      </c>
      <c r="K6" s="37" t="s">
        <v>2</v>
      </c>
      <c r="L6" s="37" t="s">
        <v>3</v>
      </c>
      <c r="M6" s="37"/>
      <c r="N6" s="37" t="s">
        <v>52</v>
      </c>
      <c r="O6" s="37"/>
      <c r="P6" s="37"/>
      <c r="Q6" s="37" t="s">
        <v>1</v>
      </c>
      <c r="R6" s="37" t="s">
        <v>2</v>
      </c>
      <c r="S6" s="37" t="s">
        <v>3</v>
      </c>
      <c r="T6" s="37"/>
      <c r="U6" s="37" t="s">
        <v>52</v>
      </c>
      <c r="V6" s="37"/>
      <c r="W6" s="37"/>
      <c r="X6" s="37"/>
      <c r="Y6" s="37" t="s">
        <v>1</v>
      </c>
      <c r="Z6" s="37" t="s">
        <v>2</v>
      </c>
      <c r="AA6" s="37" t="s">
        <v>3</v>
      </c>
      <c r="AB6" s="37"/>
      <c r="AC6" s="37" t="s">
        <v>52</v>
      </c>
      <c r="AD6" s="37"/>
      <c r="AE6" s="37"/>
      <c r="AF6" s="37" t="s">
        <v>1</v>
      </c>
      <c r="AG6" s="37" t="s">
        <v>2</v>
      </c>
      <c r="AH6" s="37" t="s">
        <v>3</v>
      </c>
      <c r="AI6" s="37"/>
      <c r="AJ6" s="37" t="s">
        <v>52</v>
      </c>
      <c r="AK6" s="37"/>
      <c r="AL6" s="37"/>
      <c r="AM6" s="37"/>
      <c r="AN6" s="37" t="s">
        <v>1</v>
      </c>
      <c r="AO6" s="37" t="s">
        <v>2</v>
      </c>
      <c r="AP6" s="37" t="s">
        <v>3</v>
      </c>
      <c r="AQ6" s="37"/>
      <c r="AR6" s="37" t="s">
        <v>52</v>
      </c>
      <c r="AS6" s="37"/>
    </row>
    <row r="7" spans="1:45" ht="13.2" x14ac:dyDescent="0.25">
      <c r="A7" s="38"/>
      <c r="B7" s="38" t="s">
        <v>7</v>
      </c>
      <c r="C7" s="38" t="s">
        <v>8</v>
      </c>
      <c r="D7" s="38" t="s">
        <v>9</v>
      </c>
      <c r="E7" s="38"/>
      <c r="F7" s="38" t="s">
        <v>30</v>
      </c>
      <c r="G7" s="38"/>
      <c r="H7" s="38"/>
      <c r="I7" s="38"/>
      <c r="J7" s="38" t="s">
        <v>7</v>
      </c>
      <c r="K7" s="38" t="s">
        <v>8</v>
      </c>
      <c r="L7" s="38" t="s">
        <v>9</v>
      </c>
      <c r="M7" s="38"/>
      <c r="N7" s="38" t="s">
        <v>30</v>
      </c>
      <c r="O7" s="38"/>
      <c r="P7" s="38"/>
      <c r="Q7" s="38" t="s">
        <v>7</v>
      </c>
      <c r="R7" s="38" t="s">
        <v>8</v>
      </c>
      <c r="S7" s="38" t="s">
        <v>9</v>
      </c>
      <c r="T7" s="38"/>
      <c r="U7" s="38" t="s">
        <v>30</v>
      </c>
      <c r="V7" s="38"/>
      <c r="W7" s="38"/>
      <c r="X7" s="38"/>
      <c r="Y7" s="38" t="s">
        <v>7</v>
      </c>
      <c r="Z7" s="38" t="s">
        <v>8</v>
      </c>
      <c r="AA7" s="38" t="s">
        <v>9</v>
      </c>
      <c r="AB7" s="38"/>
      <c r="AC7" s="38" t="s">
        <v>30</v>
      </c>
      <c r="AD7" s="38"/>
      <c r="AE7" s="38"/>
      <c r="AF7" s="38" t="s">
        <v>7</v>
      </c>
      <c r="AG7" s="38" t="s">
        <v>8</v>
      </c>
      <c r="AH7" s="38" t="s">
        <v>9</v>
      </c>
      <c r="AI7" s="38"/>
      <c r="AJ7" s="38" t="s">
        <v>30</v>
      </c>
      <c r="AK7" s="38"/>
      <c r="AL7" s="38"/>
      <c r="AM7" s="38"/>
      <c r="AN7" s="38" t="s">
        <v>7</v>
      </c>
      <c r="AO7" s="38" t="s">
        <v>8</v>
      </c>
      <c r="AP7" s="38" t="s">
        <v>9</v>
      </c>
      <c r="AQ7" s="38"/>
      <c r="AR7" s="38" t="s">
        <v>30</v>
      </c>
      <c r="AS7" s="38"/>
    </row>
    <row r="8" spans="1:45" ht="8.25" customHeight="1" thickBot="1" x14ac:dyDescent="0.35">
      <c r="A8" s="39"/>
      <c r="B8" s="39"/>
      <c r="C8" s="40"/>
      <c r="D8" s="39"/>
      <c r="E8" s="39"/>
      <c r="F8" s="39"/>
      <c r="G8" s="39"/>
      <c r="I8" s="39"/>
      <c r="J8" s="39"/>
      <c r="K8" s="39"/>
      <c r="L8" s="41"/>
      <c r="M8" s="41"/>
      <c r="N8" s="41"/>
      <c r="O8" s="41"/>
      <c r="P8" s="39"/>
      <c r="Q8" s="39"/>
      <c r="R8" s="40"/>
      <c r="S8" s="39"/>
      <c r="T8" s="39"/>
      <c r="U8" s="39"/>
      <c r="V8" s="39"/>
      <c r="X8" s="39"/>
      <c r="Y8" s="39"/>
      <c r="Z8" s="39"/>
      <c r="AA8" s="41"/>
      <c r="AB8" s="41"/>
      <c r="AC8" s="41"/>
      <c r="AD8" s="41"/>
      <c r="AE8" s="39"/>
      <c r="AF8" s="39"/>
      <c r="AG8" s="40"/>
      <c r="AH8" s="39"/>
      <c r="AI8" s="39"/>
      <c r="AJ8" s="39"/>
      <c r="AK8" s="39"/>
      <c r="AM8" s="39"/>
      <c r="AN8" s="39"/>
      <c r="AO8" s="39"/>
      <c r="AP8" s="41"/>
      <c r="AQ8" s="41"/>
      <c r="AR8" s="41"/>
      <c r="AS8" s="41"/>
    </row>
    <row r="9" spans="1:45" ht="14.4" x14ac:dyDescent="0.25">
      <c r="A9" s="42"/>
      <c r="B9" s="43"/>
      <c r="C9" s="43"/>
      <c r="D9" s="43"/>
      <c r="E9" s="44"/>
      <c r="F9" s="44"/>
      <c r="G9" s="44"/>
      <c r="I9" s="42"/>
      <c r="J9" s="43"/>
      <c r="K9" s="43"/>
      <c r="L9" s="43"/>
      <c r="M9" s="44"/>
      <c r="N9" s="44"/>
      <c r="O9" s="44"/>
      <c r="P9" s="42"/>
      <c r="Q9" s="43"/>
      <c r="R9" s="43"/>
      <c r="S9" s="43"/>
      <c r="T9" s="44"/>
      <c r="U9" s="44"/>
      <c r="V9" s="44"/>
      <c r="X9" s="42"/>
      <c r="Y9" s="43"/>
      <c r="Z9" s="43"/>
      <c r="AA9" s="43"/>
      <c r="AB9" s="44"/>
      <c r="AC9" s="44"/>
      <c r="AD9" s="44"/>
      <c r="AE9" s="42"/>
      <c r="AF9" s="43"/>
      <c r="AG9" s="43"/>
      <c r="AH9" s="43"/>
      <c r="AI9" s="44"/>
      <c r="AJ9" s="44"/>
      <c r="AK9" s="44"/>
      <c r="AM9" s="42"/>
      <c r="AN9" s="43"/>
      <c r="AO9" s="43"/>
      <c r="AP9" s="43"/>
      <c r="AQ9" s="44"/>
      <c r="AR9" s="44"/>
      <c r="AS9" s="44"/>
    </row>
    <row r="10" spans="1:45" ht="39" customHeight="1" x14ac:dyDescent="0.25">
      <c r="A10" s="45"/>
      <c r="B10" s="46">
        <v>1</v>
      </c>
      <c r="C10" s="47" t="str">
        <f t="shared" ref="C10:C24" si="0">VLOOKUP(B10,STARTOVKA,2,0)</f>
        <v>*GER19981124</v>
      </c>
      <c r="D10" s="48" t="str">
        <f t="shared" ref="D10:D24" si="1">VLOOKUP(B10,STARTOVKA,3,0)</f>
        <v>AMBROSIUS Carlos</v>
      </c>
      <c r="E10" s="49"/>
      <c r="F10" s="49"/>
      <c r="G10" s="50"/>
      <c r="H10" s="51"/>
      <c r="I10" s="52"/>
      <c r="J10" s="46">
        <v>31</v>
      </c>
      <c r="K10" s="47" t="str">
        <f t="shared" ref="K10:K34" si="2">VLOOKUP(J10,STARTOVKA,2,0)</f>
        <v>GER19970806</v>
      </c>
      <c r="L10" s="48" t="str">
        <f t="shared" ref="L10:L34" si="3">VLOOKUP(J10,STARTOVKA,3,0)</f>
        <v>BINAY Noah</v>
      </c>
      <c r="M10" s="49"/>
      <c r="N10" s="49"/>
      <c r="O10" s="49"/>
      <c r="P10" s="52"/>
      <c r="Q10" s="46">
        <v>60</v>
      </c>
      <c r="R10" s="47" t="str">
        <f t="shared" ref="R10:R20" si="4">VLOOKUP(Q10,STARTOVKA,2,0)</f>
        <v>*SVK19980115</v>
      </c>
      <c r="S10" s="48" t="str">
        <f t="shared" ref="S10:S20" si="5">VLOOKUP(Q10,STARTOVKA,3,0)</f>
        <v>BLAŠKOVIČ Richard</v>
      </c>
      <c r="T10" s="49"/>
      <c r="U10" s="49"/>
      <c r="V10" s="50"/>
      <c r="W10" s="51"/>
      <c r="X10" s="52"/>
      <c r="Y10" s="46">
        <v>91</v>
      </c>
      <c r="Z10" s="47" t="str">
        <f t="shared" ref="Z10:Z34" si="6">VLOOKUP(Y10,STARTOVKA,2,0)</f>
        <v>*GER19981104</v>
      </c>
      <c r="AA10" s="48" t="str">
        <f t="shared" ref="AA10:AA34" si="7">VLOOKUP(Y10,STARTOVKA,3,0)</f>
        <v>BRANDT Nicolas</v>
      </c>
      <c r="AB10" s="49"/>
      <c r="AC10" s="49"/>
      <c r="AD10" s="49"/>
      <c r="AE10" s="52"/>
      <c r="AF10" s="46">
        <v>125</v>
      </c>
      <c r="AG10" s="47" t="str">
        <f t="shared" ref="AG10:AG34" si="8">VLOOKUP(AF10,STARTOVKA,2,0)</f>
        <v>CZE20001207*</v>
      </c>
      <c r="AH10" s="48" t="str">
        <f t="shared" ref="AH10:AH34" si="9">VLOOKUP(AF10,STARTOVKA,3,0)</f>
        <v>ČECH Martin</v>
      </c>
      <c r="AI10" s="49"/>
      <c r="AJ10" s="49"/>
      <c r="AK10" s="50"/>
      <c r="AL10" s="51"/>
      <c r="AM10" s="52"/>
      <c r="AN10" s="46">
        <v>153</v>
      </c>
      <c r="AO10" s="47" t="str">
        <f t="shared" ref="AO10:AO16" si="10">VLOOKUP(AN10,STARTOVKA,2,0)</f>
        <v>AUT19971210</v>
      </c>
      <c r="AP10" s="48" t="str">
        <f t="shared" ref="AP10:AP16" si="11">VLOOKUP(AN10,STARTOVKA,3,0)</f>
        <v>APPELTAUER Samuel</v>
      </c>
      <c r="AQ10" s="49"/>
      <c r="AR10" s="49"/>
      <c r="AS10" s="49"/>
    </row>
    <row r="11" spans="1:45" ht="39" customHeight="1" x14ac:dyDescent="0.25">
      <c r="A11" s="45"/>
      <c r="B11" s="46">
        <v>2</v>
      </c>
      <c r="C11" s="47" t="str">
        <f t="shared" si="0"/>
        <v>GER19970122</v>
      </c>
      <c r="D11" s="48" t="str">
        <f t="shared" si="1"/>
        <v>BERAN Andy</v>
      </c>
      <c r="E11" s="49"/>
      <c r="F11" s="49"/>
      <c r="G11" s="50"/>
      <c r="H11" s="51"/>
      <c r="I11" s="52"/>
      <c r="J11" s="46">
        <v>32</v>
      </c>
      <c r="K11" s="47" t="str">
        <f t="shared" si="2"/>
        <v>*GER19980114</v>
      </c>
      <c r="L11" s="48" t="str">
        <f t="shared" si="3"/>
        <v>BONNES Julius</v>
      </c>
      <c r="M11" s="49"/>
      <c r="N11" s="49"/>
      <c r="O11" s="49"/>
      <c r="P11" s="52"/>
      <c r="Q11" s="46">
        <v>61</v>
      </c>
      <c r="R11" s="47" t="str">
        <f t="shared" si="4"/>
        <v>*BEL19980425</v>
      </c>
      <c r="S11" s="48" t="str">
        <f t="shared" si="5"/>
        <v>COMMISSARIS Lucas</v>
      </c>
      <c r="T11" s="49"/>
      <c r="U11" s="49"/>
      <c r="V11" s="50"/>
      <c r="W11" s="51"/>
      <c r="X11" s="52"/>
      <c r="Y11" s="46">
        <v>92</v>
      </c>
      <c r="Z11" s="47" t="str">
        <f t="shared" si="6"/>
        <v>GER20000619*</v>
      </c>
      <c r="AA11" s="48" t="str">
        <f t="shared" si="7"/>
        <v>DREIER Fabian</v>
      </c>
      <c r="AB11" s="49"/>
      <c r="AC11" s="49"/>
      <c r="AD11" s="49"/>
      <c r="AE11" s="52"/>
      <c r="AF11" s="46">
        <v>126</v>
      </c>
      <c r="AG11" s="47" t="str">
        <f t="shared" si="8"/>
        <v>CZE19970916</v>
      </c>
      <c r="AH11" s="48" t="str">
        <f t="shared" si="9"/>
        <v xml:space="preserve">KUNT Lukáš </v>
      </c>
      <c r="AI11" s="49"/>
      <c r="AJ11" s="49"/>
      <c r="AK11" s="50"/>
      <c r="AL11" s="51"/>
      <c r="AM11" s="52"/>
      <c r="AN11" s="46">
        <v>154</v>
      </c>
      <c r="AO11" s="47" t="str">
        <f t="shared" si="10"/>
        <v>*AUT19980711</v>
      </c>
      <c r="AP11" s="48" t="str">
        <f t="shared" si="11"/>
        <v>EDELBAUER Tobias</v>
      </c>
      <c r="AQ11" s="49"/>
      <c r="AR11" s="49"/>
      <c r="AS11" s="49"/>
    </row>
    <row r="12" spans="1:45" ht="39" customHeight="1" x14ac:dyDescent="0.25">
      <c r="A12" s="45"/>
      <c r="B12" s="46">
        <v>3</v>
      </c>
      <c r="C12" s="47" t="str">
        <f t="shared" si="0"/>
        <v>*GER19980825</v>
      </c>
      <c r="D12" s="48" t="str">
        <f t="shared" si="1"/>
        <v>CARMESIN Johannes</v>
      </c>
      <c r="E12" s="49"/>
      <c r="F12" s="49"/>
      <c r="G12" s="50"/>
      <c r="H12" s="51"/>
      <c r="I12" s="52"/>
      <c r="J12" s="46">
        <v>33</v>
      </c>
      <c r="K12" s="47" t="str">
        <f t="shared" si="2"/>
        <v>*GER19980912</v>
      </c>
      <c r="L12" s="48" t="str">
        <f t="shared" si="3"/>
        <v>CLAUSS Marc</v>
      </c>
      <c r="M12" s="49"/>
      <c r="N12" s="49"/>
      <c r="O12" s="49"/>
      <c r="P12" s="52"/>
      <c r="Q12" s="46">
        <v>62</v>
      </c>
      <c r="R12" s="47" t="str">
        <f t="shared" si="4"/>
        <v>BEL19970621</v>
      </c>
      <c r="S12" s="48" t="str">
        <f t="shared" si="5"/>
        <v>DEKKERS Robin</v>
      </c>
      <c r="T12" s="49"/>
      <c r="U12" s="49"/>
      <c r="V12" s="50"/>
      <c r="W12" s="51"/>
      <c r="X12" s="52"/>
      <c r="Y12" s="46">
        <v>93</v>
      </c>
      <c r="Z12" s="47" t="str">
        <f t="shared" si="6"/>
        <v>GER19990721*</v>
      </c>
      <c r="AA12" s="48" t="str">
        <f t="shared" si="7"/>
        <v>GRABOWSKY Joe</v>
      </c>
      <c r="AB12" s="49"/>
      <c r="AC12" s="49"/>
      <c r="AD12" s="49"/>
      <c r="AE12" s="52"/>
      <c r="AF12" s="46">
        <v>127</v>
      </c>
      <c r="AG12" s="47" t="str">
        <f t="shared" si="8"/>
        <v>CZE19991001*</v>
      </c>
      <c r="AH12" s="48" t="str">
        <f t="shared" si="9"/>
        <v xml:space="preserve">VANÍČEK Šimon </v>
      </c>
      <c r="AI12" s="49"/>
      <c r="AJ12" s="49"/>
      <c r="AK12" s="50"/>
      <c r="AL12" s="51"/>
      <c r="AM12" s="52"/>
      <c r="AN12" s="46">
        <v>155</v>
      </c>
      <c r="AO12" s="47" t="str">
        <f t="shared" si="10"/>
        <v>AUT19971224</v>
      </c>
      <c r="AP12" s="48" t="str">
        <f t="shared" si="11"/>
        <v>GRASL Patrick</v>
      </c>
      <c r="AQ12" s="49"/>
      <c r="AR12" s="49"/>
      <c r="AS12" s="49"/>
    </row>
    <row r="13" spans="1:45" ht="39" customHeight="1" x14ac:dyDescent="0.25">
      <c r="A13" s="45"/>
      <c r="B13" s="46">
        <v>4</v>
      </c>
      <c r="C13" s="47" t="str">
        <f t="shared" si="0"/>
        <v>*GER19981204</v>
      </c>
      <c r="D13" s="48" t="str">
        <f t="shared" si="1"/>
        <v>MÜLLER Tom</v>
      </c>
      <c r="E13" s="49"/>
      <c r="F13" s="49"/>
      <c r="G13" s="50"/>
      <c r="H13" s="51"/>
      <c r="I13" s="52"/>
      <c r="J13" s="46">
        <v>34</v>
      </c>
      <c r="K13" s="47" t="str">
        <f t="shared" si="2"/>
        <v>GER19970125</v>
      </c>
      <c r="L13" s="48" t="str">
        <f t="shared" si="3"/>
        <v>FRANZ Toni</v>
      </c>
      <c r="M13" s="49"/>
      <c r="N13" s="49"/>
      <c r="O13" s="49"/>
      <c r="P13" s="52"/>
      <c r="Q13" s="46">
        <v>63</v>
      </c>
      <c r="R13" s="47" t="str">
        <f t="shared" si="4"/>
        <v>*BEL19980926</v>
      </c>
      <c r="S13" s="48" t="str">
        <f t="shared" si="5"/>
        <v>HUYGEN Wout</v>
      </c>
      <c r="T13" s="49"/>
      <c r="U13" s="49"/>
      <c r="V13" s="50"/>
      <c r="W13" s="51"/>
      <c r="X13" s="52"/>
      <c r="Y13" s="46">
        <v>94</v>
      </c>
      <c r="Z13" s="47" t="str">
        <f t="shared" si="6"/>
        <v>GER19971001</v>
      </c>
      <c r="AA13" s="48" t="str">
        <f t="shared" si="7"/>
        <v>HOLTZ Christopher</v>
      </c>
      <c r="AB13" s="49"/>
      <c r="AC13" s="49"/>
      <c r="AD13" s="49"/>
      <c r="AE13" s="52"/>
      <c r="AF13" s="46">
        <v>131</v>
      </c>
      <c r="AG13" s="47" t="str">
        <f t="shared" si="8"/>
        <v>SVK19990529*</v>
      </c>
      <c r="AH13" s="48" t="str">
        <f t="shared" si="9"/>
        <v>LIŠKA Daniel</v>
      </c>
      <c r="AI13" s="49"/>
      <c r="AJ13" s="49"/>
      <c r="AK13" s="50"/>
      <c r="AL13" s="51"/>
      <c r="AM13" s="52"/>
      <c r="AN13" s="46">
        <v>156</v>
      </c>
      <c r="AO13" s="47" t="str">
        <f t="shared" si="10"/>
        <v>AUT19971004</v>
      </c>
      <c r="AP13" s="48" t="str">
        <f t="shared" si="11"/>
        <v>GRUBER Julian</v>
      </c>
      <c r="AQ13" s="49"/>
      <c r="AR13" s="49"/>
      <c r="AS13" s="49"/>
    </row>
    <row r="14" spans="1:45" ht="39" customHeight="1" x14ac:dyDescent="0.25">
      <c r="A14" s="45"/>
      <c r="B14" s="46">
        <v>5</v>
      </c>
      <c r="C14" s="47" t="str">
        <f t="shared" si="0"/>
        <v>*GER19980601</v>
      </c>
      <c r="D14" s="48" t="str">
        <f t="shared" si="1"/>
        <v>RUDYS Paul</v>
      </c>
      <c r="E14" s="49"/>
      <c r="F14" s="49"/>
      <c r="G14" s="50"/>
      <c r="H14" s="51"/>
      <c r="I14" s="52"/>
      <c r="J14" s="46">
        <v>35</v>
      </c>
      <c r="K14" s="47" t="str">
        <f t="shared" si="2"/>
        <v>GER19990531*</v>
      </c>
      <c r="L14" s="48" t="str">
        <f t="shared" si="3"/>
        <v>KAMLOT Tom</v>
      </c>
      <c r="M14" s="49"/>
      <c r="N14" s="49"/>
      <c r="O14" s="49"/>
      <c r="P14" s="52"/>
      <c r="Q14" s="46">
        <v>64</v>
      </c>
      <c r="R14" s="47" t="str">
        <f t="shared" si="4"/>
        <v>*BEL19980519</v>
      </c>
      <c r="S14" s="48" t="str">
        <f t="shared" si="5"/>
        <v>KONINGS Frits</v>
      </c>
      <c r="T14" s="49"/>
      <c r="U14" s="49"/>
      <c r="V14" s="50"/>
      <c r="W14" s="51"/>
      <c r="X14" s="52"/>
      <c r="Y14" s="46">
        <v>95</v>
      </c>
      <c r="Z14" s="47" t="str">
        <f t="shared" si="6"/>
        <v>*GER19981026</v>
      </c>
      <c r="AA14" s="48" t="str">
        <f t="shared" si="7"/>
        <v>KUNERT Pepe</v>
      </c>
      <c r="AB14" s="49"/>
      <c r="AC14" s="49"/>
      <c r="AD14" s="49"/>
      <c r="AE14" s="52"/>
      <c r="AF14" s="46">
        <v>132</v>
      </c>
      <c r="AG14" s="47" t="str">
        <f t="shared" si="8"/>
        <v>*SVK19981117</v>
      </c>
      <c r="AH14" s="48" t="str">
        <f t="shared" si="9"/>
        <v>ZEMAN Alex</v>
      </c>
      <c r="AI14" s="49"/>
      <c r="AJ14" s="49"/>
      <c r="AK14" s="50"/>
      <c r="AL14" s="51"/>
      <c r="AM14" s="52"/>
      <c r="AN14" s="46">
        <v>157</v>
      </c>
      <c r="AO14" s="47" t="str">
        <f t="shared" si="10"/>
        <v>*AUT19981224</v>
      </c>
      <c r="AP14" s="48" t="str">
        <f t="shared" si="11"/>
        <v>STIDL Timo</v>
      </c>
      <c r="AQ14" s="49"/>
      <c r="AR14" s="49"/>
      <c r="AS14" s="49"/>
    </row>
    <row r="15" spans="1:45" ht="39" customHeight="1" x14ac:dyDescent="0.25">
      <c r="A15" s="45"/>
      <c r="B15" s="46">
        <v>6</v>
      </c>
      <c r="C15" s="47" t="str">
        <f t="shared" si="0"/>
        <v>*GER19980317</v>
      </c>
      <c r="D15" s="48" t="str">
        <f t="shared" si="1"/>
        <v>SCHNEIDER William</v>
      </c>
      <c r="E15" s="49"/>
      <c r="F15" s="49"/>
      <c r="G15" s="50"/>
      <c r="H15" s="51"/>
      <c r="I15" s="52"/>
      <c r="J15" s="46">
        <v>36</v>
      </c>
      <c r="K15" s="47" t="str">
        <f t="shared" si="2"/>
        <v>GER19990128*</v>
      </c>
      <c r="L15" s="48" t="str">
        <f t="shared" si="3"/>
        <v>KLUGE Felix</v>
      </c>
      <c r="M15" s="49"/>
      <c r="N15" s="49"/>
      <c r="O15" s="49"/>
      <c r="P15" s="52"/>
      <c r="Q15" s="46">
        <v>65</v>
      </c>
      <c r="R15" s="47" t="str">
        <f t="shared" si="4"/>
        <v>BEL19991005*</v>
      </c>
      <c r="S15" s="48" t="str">
        <f t="shared" si="5"/>
        <v>MARIS Elias</v>
      </c>
      <c r="T15" s="49"/>
      <c r="U15" s="49"/>
      <c r="V15" s="50"/>
      <c r="W15" s="51"/>
      <c r="X15" s="52"/>
      <c r="Y15" s="46">
        <v>96</v>
      </c>
      <c r="Z15" s="47" t="str">
        <f t="shared" si="6"/>
        <v>GER19971221</v>
      </c>
      <c r="AA15" s="48" t="str">
        <f t="shared" si="7"/>
        <v>BAUMANN Kian</v>
      </c>
      <c r="AB15" s="49"/>
      <c r="AC15" s="49"/>
      <c r="AD15" s="49"/>
      <c r="AE15" s="52"/>
      <c r="AF15" s="46">
        <v>133</v>
      </c>
      <c r="AG15" s="47" t="str">
        <f t="shared" si="8"/>
        <v>*SVK19980324</v>
      </c>
      <c r="AH15" s="48" t="str">
        <f t="shared" si="9"/>
        <v>KOVÁČ Milan</v>
      </c>
      <c r="AI15" s="49"/>
      <c r="AJ15" s="49"/>
      <c r="AK15" s="50"/>
      <c r="AL15" s="51"/>
      <c r="AM15" s="52"/>
      <c r="AN15" s="46">
        <v>158</v>
      </c>
      <c r="AO15" s="47" t="str">
        <f t="shared" si="10"/>
        <v>POL19971016</v>
      </c>
      <c r="AP15" s="48" t="str">
        <f t="shared" si="11"/>
        <v>KUKLEWICZ Karol</v>
      </c>
      <c r="AQ15" s="49"/>
      <c r="AR15" s="49"/>
      <c r="AS15" s="49"/>
    </row>
    <row r="16" spans="1:45" ht="39" customHeight="1" x14ac:dyDescent="0.25">
      <c r="A16" s="45"/>
      <c r="B16" s="46">
        <v>7</v>
      </c>
      <c r="C16" s="47" t="str">
        <f t="shared" si="0"/>
        <v>*GER19980724</v>
      </c>
      <c r="D16" s="48" t="str">
        <f t="shared" si="1"/>
        <v>WEBER Philip</v>
      </c>
      <c r="E16" s="49"/>
      <c r="F16" s="49"/>
      <c r="G16" s="50"/>
      <c r="H16" s="51"/>
      <c r="I16" s="52"/>
      <c r="J16" s="46">
        <v>37</v>
      </c>
      <c r="K16" s="47" t="str">
        <f t="shared" si="2"/>
        <v>*GER19981209</v>
      </c>
      <c r="L16" s="48" t="str">
        <f t="shared" si="3"/>
        <v>NOLDE Tobias</v>
      </c>
      <c r="M16" s="49"/>
      <c r="N16" s="49"/>
      <c r="O16" s="49"/>
      <c r="P16" s="52"/>
      <c r="Q16" s="46">
        <v>66</v>
      </c>
      <c r="R16" s="47" t="str">
        <f t="shared" si="4"/>
        <v>BEL19991125*</v>
      </c>
      <c r="S16" s="48" t="str">
        <f t="shared" si="5"/>
        <v>VAN GILS Maxim</v>
      </c>
      <c r="T16" s="49"/>
      <c r="U16" s="49"/>
      <c r="V16" s="50"/>
      <c r="W16" s="51"/>
      <c r="X16" s="52"/>
      <c r="Y16" s="46">
        <v>101</v>
      </c>
      <c r="Z16" s="47" t="str">
        <f t="shared" si="6"/>
        <v>SVK19971212</v>
      </c>
      <c r="AA16" s="48" t="str">
        <f t="shared" si="7"/>
        <v>KOVÁČIK Vladimír</v>
      </c>
      <c r="AB16" s="49"/>
      <c r="AC16" s="49"/>
      <c r="AD16" s="49"/>
      <c r="AE16" s="52"/>
      <c r="AF16" s="46">
        <v>134</v>
      </c>
      <c r="AG16" s="47" t="str">
        <f t="shared" si="8"/>
        <v>SVK19970107</v>
      </c>
      <c r="AH16" s="48" t="str">
        <f t="shared" si="9"/>
        <v>JANIKOVSKÝ Lukáš</v>
      </c>
      <c r="AI16" s="49"/>
      <c r="AJ16" s="49"/>
      <c r="AK16" s="50"/>
      <c r="AL16" s="51"/>
      <c r="AM16" s="52"/>
      <c r="AN16" s="46">
        <v>159</v>
      </c>
      <c r="AO16" s="47" t="str">
        <f t="shared" si="10"/>
        <v>POL19990202*</v>
      </c>
      <c r="AP16" s="48" t="str">
        <f t="shared" si="11"/>
        <v>KUŚ Adam</v>
      </c>
      <c r="AQ16" s="49"/>
      <c r="AR16" s="49"/>
      <c r="AS16" s="49"/>
    </row>
    <row r="17" spans="1:45" ht="39" customHeight="1" x14ac:dyDescent="0.25">
      <c r="A17" s="45"/>
      <c r="B17" s="46">
        <v>8</v>
      </c>
      <c r="C17" s="47" t="str">
        <f t="shared" si="0"/>
        <v>GER19970701</v>
      </c>
      <c r="D17" s="48" t="str">
        <f t="shared" si="1"/>
        <v>ZETZSCHE Till</v>
      </c>
      <c r="E17" s="49"/>
      <c r="F17" s="49"/>
      <c r="G17" s="50"/>
      <c r="H17" s="51"/>
      <c r="I17" s="52"/>
      <c r="J17" s="46">
        <v>38</v>
      </c>
      <c r="K17" s="47" t="str">
        <f t="shared" si="2"/>
        <v>*GER19980430</v>
      </c>
      <c r="L17" s="48" t="str">
        <f t="shared" si="3"/>
        <v>SCHNEIDER Jonas</v>
      </c>
      <c r="M17" s="49"/>
      <c r="N17" s="49"/>
      <c r="O17" s="49"/>
      <c r="P17" s="52"/>
      <c r="Q17" s="46">
        <v>67</v>
      </c>
      <c r="R17" s="47" t="str">
        <f t="shared" si="4"/>
        <v>BEL19991106*</v>
      </c>
      <c r="S17" s="48" t="str">
        <f t="shared" si="5"/>
        <v>VAN OEVELEN Wanne</v>
      </c>
      <c r="T17" s="49"/>
      <c r="U17" s="49"/>
      <c r="V17" s="50"/>
      <c r="W17" s="51"/>
      <c r="X17" s="52"/>
      <c r="Y17" s="46">
        <v>102</v>
      </c>
      <c r="Z17" s="47" t="str">
        <f t="shared" si="6"/>
        <v>SVK19970522</v>
      </c>
      <c r="AA17" s="48" t="str">
        <f t="shared" si="7"/>
        <v>KVIETOK Pavol</v>
      </c>
      <c r="AB17" s="49"/>
      <c r="AC17" s="49"/>
      <c r="AD17" s="49"/>
      <c r="AE17" s="52"/>
      <c r="AF17" s="46">
        <v>135</v>
      </c>
      <c r="AG17" s="47" t="str">
        <f t="shared" si="8"/>
        <v>SVK19970207</v>
      </c>
      <c r="AH17" s="48" t="str">
        <f t="shared" si="9"/>
        <v>GAVENDA Miroslav</v>
      </c>
      <c r="AI17" s="49"/>
      <c r="AJ17" s="49"/>
      <c r="AK17" s="50"/>
      <c r="AL17" s="51"/>
      <c r="AM17" s="52"/>
      <c r="AN17" s="47">
        <v>160</v>
      </c>
      <c r="AO17" s="47" t="str">
        <f t="shared" ref="AO17:AO32" si="12">VLOOKUP(AN17,STARTOVKA,2,0)</f>
        <v>*POL19980509</v>
      </c>
      <c r="AP17" s="48" t="str">
        <f t="shared" ref="AP17:AP32" si="13">VLOOKUP(AN17,STARTOVKA,3,0)</f>
        <v>WŁODARCZYK Damian</v>
      </c>
      <c r="AQ17" s="49"/>
      <c r="AR17" s="49"/>
      <c r="AS17" s="49"/>
    </row>
    <row r="18" spans="1:45" ht="39" customHeight="1" x14ac:dyDescent="0.25">
      <c r="A18" s="45"/>
      <c r="B18" s="46">
        <v>11</v>
      </c>
      <c r="C18" s="47" t="str">
        <f t="shared" si="0"/>
        <v>GER19970217</v>
      </c>
      <c r="D18" s="48" t="str">
        <f t="shared" si="1"/>
        <v>SCHMIEDEL Sebastian</v>
      </c>
      <c r="E18" s="49"/>
      <c r="F18" s="49"/>
      <c r="G18" s="50"/>
      <c r="H18" s="51"/>
      <c r="I18" s="52"/>
      <c r="J18" s="46">
        <v>39</v>
      </c>
      <c r="K18" s="47" t="str">
        <f t="shared" si="2"/>
        <v>*GER19980906</v>
      </c>
      <c r="L18" s="48" t="str">
        <f t="shared" si="3"/>
        <v>ZSCHOCKE Maximilian</v>
      </c>
      <c r="M18" s="49"/>
      <c r="N18" s="49"/>
      <c r="O18" s="49"/>
      <c r="P18" s="52"/>
      <c r="Q18" s="46">
        <v>68</v>
      </c>
      <c r="R18" s="47" t="str">
        <f t="shared" si="4"/>
        <v>*BEL19980331</v>
      </c>
      <c r="S18" s="48" t="str">
        <f t="shared" si="5"/>
        <v>VAN STEENSEL Mats</v>
      </c>
      <c r="T18" s="49"/>
      <c r="U18" s="49"/>
      <c r="V18" s="50"/>
      <c r="W18" s="51"/>
      <c r="X18" s="52"/>
      <c r="Y18" s="46">
        <v>103</v>
      </c>
      <c r="Z18" s="47" t="str">
        <f t="shared" si="6"/>
        <v>SVK19970730</v>
      </c>
      <c r="AA18" s="48" t="str">
        <f t="shared" si="7"/>
        <v>MEŇUŠ Tomáš</v>
      </c>
      <c r="AB18" s="49"/>
      <c r="AC18" s="49"/>
      <c r="AD18" s="49"/>
      <c r="AE18" s="52"/>
      <c r="AF18" s="46">
        <v>136</v>
      </c>
      <c r="AG18" s="47" t="str">
        <f t="shared" si="8"/>
        <v>*SVK19980617</v>
      </c>
      <c r="AH18" s="48" t="str">
        <f t="shared" si="9"/>
        <v>KLÁTIK David</v>
      </c>
      <c r="AI18" s="49"/>
      <c r="AJ18" s="49"/>
      <c r="AK18" s="50"/>
      <c r="AL18" s="51"/>
      <c r="AM18" s="52"/>
      <c r="AN18" s="47">
        <v>161</v>
      </c>
      <c r="AO18" s="47" t="str">
        <f t="shared" si="12"/>
        <v>*AUT19980216</v>
      </c>
      <c r="AP18" s="48" t="str">
        <f t="shared" si="13"/>
        <v>FRIEDRICH Marco</v>
      </c>
      <c r="AQ18" s="49"/>
      <c r="AR18" s="49"/>
      <c r="AS18" s="49"/>
    </row>
    <row r="19" spans="1:45" ht="39" customHeight="1" x14ac:dyDescent="0.25">
      <c r="A19" s="45"/>
      <c r="B19" s="46">
        <v>12</v>
      </c>
      <c r="C19" s="47" t="str">
        <f t="shared" si="0"/>
        <v>GER19970725</v>
      </c>
      <c r="D19" s="48" t="str">
        <f t="shared" si="1"/>
        <v>MAGDEBURG Tobias</v>
      </c>
      <c r="E19" s="49"/>
      <c r="F19" s="49"/>
      <c r="G19" s="50"/>
      <c r="H19" s="51"/>
      <c r="I19" s="52"/>
      <c r="J19" s="46">
        <v>40</v>
      </c>
      <c r="K19" s="47" t="str">
        <f t="shared" si="2"/>
        <v>GER19991106*</v>
      </c>
      <c r="L19" s="48" t="str">
        <f t="shared" si="3"/>
        <v>ZUGEHÖR Anton</v>
      </c>
      <c r="M19" s="49"/>
      <c r="N19" s="49"/>
      <c r="O19" s="49"/>
      <c r="P19" s="52"/>
      <c r="Q19" s="46">
        <v>69</v>
      </c>
      <c r="R19" s="47" t="str">
        <f t="shared" si="4"/>
        <v>BEL19990101*</v>
      </c>
      <c r="S19" s="48" t="str">
        <f t="shared" si="5"/>
        <v>VAN LAER Jan</v>
      </c>
      <c r="T19" s="49"/>
      <c r="U19" s="49"/>
      <c r="V19" s="50"/>
      <c r="W19" s="51"/>
      <c r="X19" s="52"/>
      <c r="Y19" s="46">
        <v>104</v>
      </c>
      <c r="Z19" s="47" t="str">
        <f t="shared" si="6"/>
        <v>SVK19970514</v>
      </c>
      <c r="AA19" s="48" t="str">
        <f t="shared" si="7"/>
        <v>TRUBAN Matej</v>
      </c>
      <c r="AB19" s="49"/>
      <c r="AC19" s="49"/>
      <c r="AD19" s="49"/>
      <c r="AE19" s="52"/>
      <c r="AF19" s="46">
        <v>137</v>
      </c>
      <c r="AG19" s="47" t="str">
        <f t="shared" si="8"/>
        <v>SVK19970906</v>
      </c>
      <c r="AH19" s="48" t="str">
        <f t="shared" si="9"/>
        <v>HLOŽA Michal</v>
      </c>
      <c r="AI19" s="49"/>
      <c r="AJ19" s="49"/>
      <c r="AK19" s="50"/>
      <c r="AL19" s="51"/>
      <c r="AM19" s="52"/>
      <c r="AN19" s="47">
        <v>162</v>
      </c>
      <c r="AO19" s="47" t="str">
        <f t="shared" si="12"/>
        <v>AUT19970327</v>
      </c>
      <c r="AP19" s="48" t="str">
        <f t="shared" si="13"/>
        <v>GURSCH Georg</v>
      </c>
      <c r="AQ19" s="49"/>
      <c r="AR19" s="49"/>
      <c r="AS19" s="49"/>
    </row>
    <row r="20" spans="1:45" ht="39" customHeight="1" x14ac:dyDescent="0.25">
      <c r="A20" s="45"/>
      <c r="B20" s="46">
        <v>13</v>
      </c>
      <c r="C20" s="47" t="str">
        <f t="shared" si="0"/>
        <v>GER19970811</v>
      </c>
      <c r="D20" s="48" t="str">
        <f t="shared" si="1"/>
        <v>LINTZEL Philip</v>
      </c>
      <c r="E20" s="49"/>
      <c r="F20" s="49"/>
      <c r="G20" s="50"/>
      <c r="H20" s="51"/>
      <c r="I20" s="52"/>
      <c r="J20" s="46">
        <v>41</v>
      </c>
      <c r="K20" s="47" t="str">
        <f t="shared" si="2"/>
        <v>CZE19971201</v>
      </c>
      <c r="L20" s="48" t="str">
        <f t="shared" si="3"/>
        <v xml:space="preserve">CHYTIL Daniel </v>
      </c>
      <c r="M20" s="49"/>
      <c r="N20" s="49"/>
      <c r="O20" s="49"/>
      <c r="P20" s="52"/>
      <c r="Q20" s="46">
        <v>71</v>
      </c>
      <c r="R20" s="47" t="str">
        <f t="shared" si="4"/>
        <v>CZE19990814*</v>
      </c>
      <c r="S20" s="48" t="str">
        <f t="shared" si="5"/>
        <v xml:space="preserve">KLABOUCH Petr </v>
      </c>
      <c r="T20" s="49"/>
      <c r="U20" s="49"/>
      <c r="V20" s="50"/>
      <c r="W20" s="51"/>
      <c r="X20" s="52"/>
      <c r="Y20" s="46">
        <v>105</v>
      </c>
      <c r="Z20" s="47" t="str">
        <f t="shared" si="6"/>
        <v>*SVK19980903</v>
      </c>
      <c r="AA20" s="48" t="str">
        <f t="shared" si="7"/>
        <v>VOJTEK Miloš</v>
      </c>
      <c r="AB20" s="49"/>
      <c r="AC20" s="49"/>
      <c r="AD20" s="49"/>
      <c r="AE20" s="52"/>
      <c r="AF20" s="46">
        <v>138</v>
      </c>
      <c r="AG20" s="47" t="str">
        <f t="shared" si="8"/>
        <v>POL19970608</v>
      </c>
      <c r="AH20" s="48" t="str">
        <f t="shared" si="9"/>
        <v>BISKUP Bartosz</v>
      </c>
      <c r="AI20" s="49"/>
      <c r="AJ20" s="49"/>
      <c r="AK20" s="50"/>
      <c r="AL20" s="51"/>
      <c r="AM20" s="52"/>
      <c r="AN20" s="47">
        <v>163</v>
      </c>
      <c r="AO20" s="47" t="str">
        <f t="shared" si="12"/>
        <v>*AUT19980813</v>
      </c>
      <c r="AP20" s="48" t="str">
        <f t="shared" si="13"/>
        <v>IRENDORFER Moritz</v>
      </c>
      <c r="AQ20" s="49"/>
      <c r="AR20" s="49"/>
      <c r="AS20" s="49"/>
    </row>
    <row r="21" spans="1:45" ht="39" customHeight="1" x14ac:dyDescent="0.25">
      <c r="A21" s="45"/>
      <c r="B21" s="46">
        <v>14</v>
      </c>
      <c r="C21" s="47" t="str">
        <f t="shared" si="0"/>
        <v>*GER19980425</v>
      </c>
      <c r="D21" s="48" t="str">
        <f t="shared" si="1"/>
        <v>WITTMANN Hannes</v>
      </c>
      <c r="E21" s="49"/>
      <c r="F21" s="49"/>
      <c r="G21" s="50"/>
      <c r="H21" s="51"/>
      <c r="I21" s="52"/>
      <c r="J21" s="46">
        <v>42</v>
      </c>
      <c r="K21" s="47" t="str">
        <f t="shared" si="2"/>
        <v>CZE19990122*</v>
      </c>
      <c r="L21" s="48" t="str">
        <f t="shared" si="3"/>
        <v xml:space="preserve">KABRHEL Milan </v>
      </c>
      <c r="M21" s="49"/>
      <c r="N21" s="49"/>
      <c r="O21" s="49"/>
      <c r="P21" s="52"/>
      <c r="Q21" s="46">
        <v>72</v>
      </c>
      <c r="R21" s="47" t="str">
        <f t="shared" ref="R21:R34" si="14">VLOOKUP(Q21,STARTOVKA,2,0)</f>
        <v>CZE19971221</v>
      </c>
      <c r="S21" s="48" t="str">
        <f t="shared" ref="S21:S34" si="15">VLOOKUP(Q21,STARTOVKA,3,0)</f>
        <v xml:space="preserve">KRUMPHANZL Matyáš </v>
      </c>
      <c r="T21" s="49"/>
      <c r="U21" s="49"/>
      <c r="V21" s="50"/>
      <c r="W21" s="51"/>
      <c r="X21" s="52"/>
      <c r="Y21" s="46">
        <v>106</v>
      </c>
      <c r="Z21" s="47" t="str">
        <f t="shared" si="6"/>
        <v>*SVK19980719</v>
      </c>
      <c r="AA21" s="48" t="str">
        <f t="shared" si="7"/>
        <v>GAJDOŠÍK Ján</v>
      </c>
      <c r="AB21" s="49"/>
      <c r="AC21" s="49"/>
      <c r="AD21" s="49"/>
      <c r="AE21" s="52"/>
      <c r="AF21" s="46">
        <v>139</v>
      </c>
      <c r="AG21" s="47" t="str">
        <f t="shared" si="8"/>
        <v>*POL19980719</v>
      </c>
      <c r="AH21" s="48" t="str">
        <f t="shared" si="9"/>
        <v>NOWAK Michał</v>
      </c>
      <c r="AI21" s="49"/>
      <c r="AJ21" s="49"/>
      <c r="AK21" s="50"/>
      <c r="AL21" s="51"/>
      <c r="AM21" s="52"/>
      <c r="AN21" s="47">
        <v>164</v>
      </c>
      <c r="AO21" s="47" t="str">
        <f t="shared" si="12"/>
        <v>AUT19971207</v>
      </c>
      <c r="AP21" s="48" t="str">
        <f t="shared" si="13"/>
        <v>MOSER Max</v>
      </c>
      <c r="AQ21" s="49"/>
      <c r="AR21" s="49"/>
      <c r="AS21" s="49"/>
    </row>
    <row r="22" spans="1:45" ht="39" customHeight="1" x14ac:dyDescent="0.25">
      <c r="A22" s="45"/>
      <c r="B22" s="46">
        <v>15</v>
      </c>
      <c r="C22" s="47" t="str">
        <f t="shared" si="0"/>
        <v>*GER19980410</v>
      </c>
      <c r="D22" s="48" t="str">
        <f t="shared" si="1"/>
        <v>DÖPEL Robin</v>
      </c>
      <c r="E22" s="49"/>
      <c r="F22" s="49"/>
      <c r="G22" s="50"/>
      <c r="H22" s="51"/>
      <c r="I22" s="52"/>
      <c r="J22" s="46">
        <v>43</v>
      </c>
      <c r="K22" s="47" t="str">
        <f t="shared" si="2"/>
        <v>*CZE19981115</v>
      </c>
      <c r="L22" s="48" t="str">
        <f t="shared" si="3"/>
        <v xml:space="preserve">KOČAŘÍK Václav </v>
      </c>
      <c r="M22" s="49"/>
      <c r="N22" s="49"/>
      <c r="O22" s="49"/>
      <c r="P22" s="52"/>
      <c r="Q22" s="46">
        <v>73</v>
      </c>
      <c r="R22" s="47" t="str">
        <f t="shared" si="14"/>
        <v>CZE19991022*</v>
      </c>
      <c r="S22" s="48" t="str">
        <f t="shared" si="15"/>
        <v xml:space="preserve">BABOR Daniel </v>
      </c>
      <c r="T22" s="49"/>
      <c r="U22" s="49"/>
      <c r="V22" s="50"/>
      <c r="W22" s="51"/>
      <c r="X22" s="52"/>
      <c r="Y22" s="46">
        <v>111</v>
      </c>
      <c r="Z22" s="47" t="str">
        <f t="shared" si="6"/>
        <v>*CZE19981028</v>
      </c>
      <c r="AA22" s="48" t="str">
        <f t="shared" si="7"/>
        <v xml:space="preserve">BAKUS Tomáš </v>
      </c>
      <c r="AB22" s="49"/>
      <c r="AC22" s="49"/>
      <c r="AD22" s="49"/>
      <c r="AE22" s="52"/>
      <c r="AF22" s="46">
        <v>140</v>
      </c>
      <c r="AG22" s="47" t="str">
        <f t="shared" si="8"/>
        <v>POL19970228</v>
      </c>
      <c r="AH22" s="48" t="str">
        <f t="shared" si="9"/>
        <v>SKIBIŃSKI Krzysztof</v>
      </c>
      <c r="AI22" s="49"/>
      <c r="AJ22" s="49"/>
      <c r="AK22" s="50"/>
      <c r="AL22" s="51"/>
      <c r="AM22" s="52"/>
      <c r="AN22" s="47">
        <v>165</v>
      </c>
      <c r="AO22" s="47" t="str">
        <f t="shared" si="12"/>
        <v>AUT19970502</v>
      </c>
      <c r="AP22" s="48" t="str">
        <f t="shared" si="13"/>
        <v>RECKENDORFER Lukas</v>
      </c>
      <c r="AQ22" s="49"/>
      <c r="AR22" s="49"/>
      <c r="AS22" s="49"/>
    </row>
    <row r="23" spans="1:45" ht="39" customHeight="1" x14ac:dyDescent="0.25">
      <c r="A23" s="45"/>
      <c r="B23" s="46">
        <v>16</v>
      </c>
      <c r="C23" s="47" t="str">
        <f t="shared" si="0"/>
        <v>*GER19980416</v>
      </c>
      <c r="D23" s="48" t="str">
        <f t="shared" si="1"/>
        <v>KÄßMANN Fabian</v>
      </c>
      <c r="E23" s="49"/>
      <c r="F23" s="49"/>
      <c r="G23" s="50"/>
      <c r="H23" s="51"/>
      <c r="I23" s="52"/>
      <c r="J23" s="46">
        <v>44</v>
      </c>
      <c r="K23" s="47" t="str">
        <f t="shared" si="2"/>
        <v>CZE19970417</v>
      </c>
      <c r="L23" s="48" t="str">
        <f t="shared" si="3"/>
        <v xml:space="preserve">KUBEŠ Martin </v>
      </c>
      <c r="M23" s="49"/>
      <c r="N23" s="49"/>
      <c r="O23" s="49"/>
      <c r="P23" s="52"/>
      <c r="Q23" s="46">
        <v>74</v>
      </c>
      <c r="R23" s="47" t="str">
        <f t="shared" si="14"/>
        <v>*CZE19980303</v>
      </c>
      <c r="S23" s="48" t="str">
        <f t="shared" si="15"/>
        <v xml:space="preserve">KOUDELA Dominik </v>
      </c>
      <c r="T23" s="49"/>
      <c r="U23" s="49"/>
      <c r="V23" s="50"/>
      <c r="W23" s="51"/>
      <c r="X23" s="52"/>
      <c r="Y23" s="46">
        <v>112</v>
      </c>
      <c r="Z23" s="47" t="str">
        <f t="shared" si="6"/>
        <v>*CZE19980616</v>
      </c>
      <c r="AA23" s="48" t="str">
        <f t="shared" si="7"/>
        <v xml:space="preserve">DRDEK Dominik </v>
      </c>
      <c r="AB23" s="49"/>
      <c r="AC23" s="49"/>
      <c r="AD23" s="49"/>
      <c r="AE23" s="52"/>
      <c r="AF23" s="46">
        <v>141</v>
      </c>
      <c r="AG23" s="47" t="str">
        <f t="shared" si="8"/>
        <v>SVK20000619*</v>
      </c>
      <c r="AH23" s="48" t="str">
        <f t="shared" si="9"/>
        <v>COMA Richard</v>
      </c>
      <c r="AI23" s="49"/>
      <c r="AJ23" s="49"/>
      <c r="AK23" s="50"/>
      <c r="AL23" s="51"/>
      <c r="AM23" s="52"/>
      <c r="AN23" s="47">
        <v>166</v>
      </c>
      <c r="AO23" s="47" t="str">
        <f t="shared" si="12"/>
        <v>AUT19971029</v>
      </c>
      <c r="AP23" s="48" t="str">
        <f t="shared" si="13"/>
        <v>WAIBEL Christian</v>
      </c>
      <c r="AQ23" s="49"/>
      <c r="AR23" s="49"/>
      <c r="AS23" s="49"/>
    </row>
    <row r="24" spans="1:45" ht="39" customHeight="1" x14ac:dyDescent="0.25">
      <c r="A24" s="45"/>
      <c r="B24" s="46">
        <v>17</v>
      </c>
      <c r="C24" s="47" t="str">
        <f t="shared" si="0"/>
        <v>GER19991107*</v>
      </c>
      <c r="D24" s="48" t="str">
        <f t="shared" si="1"/>
        <v>ASCHENBRENNER Michel</v>
      </c>
      <c r="E24" s="49"/>
      <c r="F24" s="49"/>
      <c r="G24" s="50"/>
      <c r="H24" s="51"/>
      <c r="I24" s="52"/>
      <c r="J24" s="46">
        <v>45</v>
      </c>
      <c r="K24" s="47" t="str">
        <f t="shared" si="2"/>
        <v>CZE19971015</v>
      </c>
      <c r="L24" s="48" t="str">
        <f t="shared" si="3"/>
        <v xml:space="preserve">STRUPEK Matyáš </v>
      </c>
      <c r="M24" s="49"/>
      <c r="N24" s="49"/>
      <c r="O24" s="49"/>
      <c r="P24" s="52"/>
      <c r="Q24" s="46">
        <v>75</v>
      </c>
      <c r="R24" s="47" t="str">
        <f t="shared" si="14"/>
        <v>CZE19970804</v>
      </c>
      <c r="S24" s="48" t="str">
        <f t="shared" si="15"/>
        <v xml:space="preserve">SPUDIL Martin </v>
      </c>
      <c r="T24" s="49"/>
      <c r="U24" s="49"/>
      <c r="V24" s="50"/>
      <c r="W24" s="51"/>
      <c r="X24" s="52"/>
      <c r="Y24" s="46">
        <v>113</v>
      </c>
      <c r="Z24" s="47" t="str">
        <f t="shared" si="6"/>
        <v>*CZE19980120</v>
      </c>
      <c r="AA24" s="48" t="str">
        <f t="shared" si="7"/>
        <v xml:space="preserve">NOVÁK Jan </v>
      </c>
      <c r="AB24" s="49"/>
      <c r="AC24" s="49"/>
      <c r="AD24" s="49"/>
      <c r="AE24" s="52"/>
      <c r="AF24" s="46">
        <v>142</v>
      </c>
      <c r="AG24" s="47" t="str">
        <f t="shared" si="8"/>
        <v>SVK20000502*</v>
      </c>
      <c r="AH24" s="48" t="str">
        <f t="shared" si="9"/>
        <v>BUČKO Adam</v>
      </c>
      <c r="AI24" s="49"/>
      <c r="AJ24" s="49"/>
      <c r="AK24" s="50"/>
      <c r="AL24" s="51"/>
      <c r="AM24" s="52"/>
      <c r="AN24" s="47">
        <v>167</v>
      </c>
      <c r="AO24" s="47" t="str">
        <f t="shared" si="12"/>
        <v>AUT19970406</v>
      </c>
      <c r="AP24" s="48" t="str">
        <f t="shared" si="13"/>
        <v>WINTER Stefan</v>
      </c>
      <c r="AQ24" s="49"/>
      <c r="AR24" s="49"/>
      <c r="AS24" s="49"/>
    </row>
    <row r="25" spans="1:45" ht="39" customHeight="1" x14ac:dyDescent="0.25">
      <c r="A25" s="45"/>
      <c r="B25" s="46">
        <v>18</v>
      </c>
      <c r="C25" s="47" t="str">
        <f>VLOOKUP(B25,STARTOVKA,2,0)</f>
        <v>GER19990507*</v>
      </c>
      <c r="D25" s="48" t="str">
        <f>VLOOKUP(B25,STARTOVKA,3,0)</f>
        <v>PAKALSKI Henrik</v>
      </c>
      <c r="E25" s="49"/>
      <c r="F25" s="49"/>
      <c r="G25" s="50"/>
      <c r="H25" s="51"/>
      <c r="I25" s="52"/>
      <c r="J25" s="46">
        <v>46</v>
      </c>
      <c r="K25" s="47" t="str">
        <f t="shared" si="2"/>
        <v>*CZE19980604</v>
      </c>
      <c r="L25" s="48" t="str">
        <f t="shared" si="3"/>
        <v xml:space="preserve">ŠMÍDA Martin </v>
      </c>
      <c r="M25" s="49"/>
      <c r="N25" s="49"/>
      <c r="O25" s="49"/>
      <c r="P25" s="52"/>
      <c r="Q25" s="46">
        <v>76</v>
      </c>
      <c r="R25" s="47" t="str">
        <f t="shared" si="14"/>
        <v>CZE19971201</v>
      </c>
      <c r="S25" s="48" t="str">
        <f t="shared" si="15"/>
        <v xml:space="preserve">ŠTIBINGR Matěj </v>
      </c>
      <c r="T25" s="49"/>
      <c r="U25" s="49"/>
      <c r="V25" s="50"/>
      <c r="W25" s="51"/>
      <c r="X25" s="52"/>
      <c r="Y25" s="46">
        <v>114</v>
      </c>
      <c r="Z25" s="47" t="str">
        <f t="shared" si="6"/>
        <v>CZE19991205*</v>
      </c>
      <c r="AA25" s="48" t="str">
        <f t="shared" si="7"/>
        <v xml:space="preserve">SYROVÁTKA Matěj </v>
      </c>
      <c r="AB25" s="49"/>
      <c r="AC25" s="49"/>
      <c r="AD25" s="49"/>
      <c r="AE25" s="52"/>
      <c r="AF25" s="46">
        <v>143</v>
      </c>
      <c r="AG25" s="47" t="str">
        <f t="shared" si="8"/>
        <v>SVK19990903*</v>
      </c>
      <c r="AH25" s="48" t="str">
        <f t="shared" si="9"/>
        <v>JANUŠ Pavol</v>
      </c>
      <c r="AI25" s="49"/>
      <c r="AJ25" s="49"/>
      <c r="AK25" s="50"/>
      <c r="AL25" s="51"/>
      <c r="AM25" s="52"/>
      <c r="AN25" s="47">
        <v>191</v>
      </c>
      <c r="AO25" s="47" t="str">
        <f t="shared" si="12"/>
        <v>CZE19990916*</v>
      </c>
      <c r="AP25" s="48" t="str">
        <f t="shared" si="13"/>
        <v xml:space="preserve">HAUF Jan </v>
      </c>
      <c r="AQ25" s="49"/>
      <c r="AR25" s="49"/>
      <c r="AS25" s="49"/>
    </row>
    <row r="26" spans="1:45" ht="39" customHeight="1" x14ac:dyDescent="0.25">
      <c r="A26" s="45"/>
      <c r="B26" s="46">
        <v>19</v>
      </c>
      <c r="C26" s="47" t="str">
        <f>VLOOKUP(B26,STARTOVKA,2,0)</f>
        <v>GER19990212*</v>
      </c>
      <c r="D26" s="48" t="str">
        <f>VLOOKUP(B26,STARTOVKA,3,0)</f>
        <v>WELLENDORF Lukas</v>
      </c>
      <c r="E26" s="49"/>
      <c r="F26" s="49"/>
      <c r="G26" s="50"/>
      <c r="H26" s="51"/>
      <c r="I26" s="52"/>
      <c r="J26" s="46">
        <v>51</v>
      </c>
      <c r="K26" s="47" t="str">
        <f t="shared" si="2"/>
        <v>*CZE19980914</v>
      </c>
      <c r="L26" s="48" t="str">
        <f t="shared" si="3"/>
        <v>TRACHTULEC Petr</v>
      </c>
      <c r="M26" s="49"/>
      <c r="N26" s="49"/>
      <c r="O26" s="49"/>
      <c r="P26" s="52"/>
      <c r="Q26" s="46">
        <v>77</v>
      </c>
      <c r="R26" s="47" t="str">
        <f t="shared" si="14"/>
        <v>BEL19970116</v>
      </c>
      <c r="S26" s="48" t="str">
        <f t="shared" si="15"/>
        <v>PENNINCK Jens</v>
      </c>
      <c r="T26" s="49"/>
      <c r="U26" s="49"/>
      <c r="V26" s="50"/>
      <c r="W26" s="51"/>
      <c r="X26" s="52"/>
      <c r="Y26" s="46">
        <v>115</v>
      </c>
      <c r="Z26" s="47" t="str">
        <f t="shared" si="6"/>
        <v>*CZE19980802</v>
      </c>
      <c r="AA26" s="48" t="str">
        <f t="shared" si="7"/>
        <v xml:space="preserve">CHARALAMBIDIS Denis </v>
      </c>
      <c r="AB26" s="49"/>
      <c r="AC26" s="49"/>
      <c r="AD26" s="49"/>
      <c r="AE26" s="52"/>
      <c r="AF26" s="46">
        <v>144</v>
      </c>
      <c r="AG26" s="47" t="str">
        <f t="shared" si="8"/>
        <v>*SVK19981014</v>
      </c>
      <c r="AH26" s="48" t="str">
        <f t="shared" si="9"/>
        <v>PERSON Tomáš</v>
      </c>
      <c r="AI26" s="49"/>
      <c r="AJ26" s="49"/>
      <c r="AK26" s="50"/>
      <c r="AL26" s="51"/>
      <c r="AM26" s="52"/>
      <c r="AN26" s="47">
        <v>192</v>
      </c>
      <c r="AO26" s="47" t="str">
        <f t="shared" si="12"/>
        <v>CZE20000704*</v>
      </c>
      <c r="AP26" s="48" t="str">
        <f t="shared" si="13"/>
        <v xml:space="preserve">MICHAL Daniel </v>
      </c>
      <c r="AQ26" s="49"/>
      <c r="AR26" s="49"/>
      <c r="AS26" s="49"/>
    </row>
    <row r="27" spans="1:45" ht="39" customHeight="1" x14ac:dyDescent="0.25">
      <c r="A27" s="45"/>
      <c r="B27" s="46">
        <v>20</v>
      </c>
      <c r="C27" s="47" t="str">
        <f t="shared" ref="C27:C34" si="16">VLOOKUP(B27,STARTOVKA,2,0)</f>
        <v>GER19990514*</v>
      </c>
      <c r="D27" s="48" t="str">
        <f t="shared" ref="D27:D34" si="17">VLOOKUP(B27,STARTOVKA,3,0)</f>
        <v>BANZER Johannes</v>
      </c>
      <c r="E27" s="49"/>
      <c r="F27" s="49"/>
      <c r="G27" s="50"/>
      <c r="H27" s="51"/>
      <c r="I27" s="52"/>
      <c r="J27" s="46">
        <v>52</v>
      </c>
      <c r="K27" s="47" t="str">
        <f t="shared" si="2"/>
        <v>*CZE19980529</v>
      </c>
      <c r="L27" s="48" t="str">
        <f t="shared" si="3"/>
        <v>KREJČÍ Marian</v>
      </c>
      <c r="M27" s="49"/>
      <c r="N27" s="49"/>
      <c r="O27" s="49"/>
      <c r="P27" s="52"/>
      <c r="Q27" s="46">
        <v>78</v>
      </c>
      <c r="R27" s="47" t="str">
        <f t="shared" si="14"/>
        <v>*CZE19980106</v>
      </c>
      <c r="S27" s="48" t="str">
        <f t="shared" si="15"/>
        <v xml:space="preserve">BÁRTEK David </v>
      </c>
      <c r="T27" s="49"/>
      <c r="U27" s="49"/>
      <c r="V27" s="50"/>
      <c r="W27" s="51"/>
      <c r="X27" s="52"/>
      <c r="Y27" s="46">
        <v>116</v>
      </c>
      <c r="Z27" s="47" t="str">
        <f t="shared" si="6"/>
        <v>CZE19990602*</v>
      </c>
      <c r="AA27" s="48" t="str">
        <f t="shared" si="7"/>
        <v xml:space="preserve">KUBA Karel </v>
      </c>
      <c r="AB27" s="49"/>
      <c r="AC27" s="49"/>
      <c r="AD27" s="49"/>
      <c r="AE27" s="52"/>
      <c r="AF27" s="46">
        <v>145</v>
      </c>
      <c r="AG27" s="47" t="str">
        <f t="shared" si="8"/>
        <v>*CZE19980313</v>
      </c>
      <c r="AH27" s="48" t="str">
        <f t="shared" si="9"/>
        <v xml:space="preserve">CIHLÁŘ Adam </v>
      </c>
      <c r="AI27" s="49"/>
      <c r="AJ27" s="49"/>
      <c r="AK27" s="50"/>
      <c r="AL27" s="51"/>
      <c r="AM27" s="52"/>
      <c r="AN27" s="47">
        <v>193</v>
      </c>
      <c r="AO27" s="47" t="str">
        <f t="shared" si="12"/>
        <v>CZE20000328*</v>
      </c>
      <c r="AP27" s="48" t="str">
        <f t="shared" si="13"/>
        <v xml:space="preserve">ROTTER Michal </v>
      </c>
      <c r="AQ27" s="49"/>
      <c r="AR27" s="49"/>
      <c r="AS27" s="49"/>
    </row>
    <row r="28" spans="1:45" ht="39" customHeight="1" x14ac:dyDescent="0.25">
      <c r="A28" s="45"/>
      <c r="B28" s="46">
        <v>21</v>
      </c>
      <c r="C28" s="47" t="str">
        <f t="shared" si="16"/>
        <v>CZE19971022</v>
      </c>
      <c r="D28" s="48" t="str">
        <f t="shared" si="17"/>
        <v xml:space="preserve">KLEVETA Jakub </v>
      </c>
      <c r="E28" s="49"/>
      <c r="F28" s="49"/>
      <c r="G28" s="50"/>
      <c r="H28" s="51"/>
      <c r="I28" s="52"/>
      <c r="J28" s="46">
        <v>53</v>
      </c>
      <c r="K28" s="47" t="str">
        <f t="shared" si="2"/>
        <v>CZE20001009*</v>
      </c>
      <c r="L28" s="48" t="str">
        <f t="shared" si="3"/>
        <v>MIKŠANÍK Vladimír</v>
      </c>
      <c r="M28" s="49"/>
      <c r="N28" s="49"/>
      <c r="O28" s="49"/>
      <c r="P28" s="52"/>
      <c r="Q28" s="46">
        <v>79</v>
      </c>
      <c r="R28" s="47" t="str">
        <f t="shared" si="14"/>
        <v>*CZE19980414</v>
      </c>
      <c r="S28" s="48" t="str">
        <f t="shared" si="15"/>
        <v xml:space="preserve">MACEK Michal </v>
      </c>
      <c r="T28" s="49"/>
      <c r="U28" s="49"/>
      <c r="V28" s="50"/>
      <c r="W28" s="51"/>
      <c r="X28" s="52"/>
      <c r="Y28" s="46">
        <v>117</v>
      </c>
      <c r="Z28" s="47" t="str">
        <f t="shared" si="6"/>
        <v>CZE19970109</v>
      </c>
      <c r="AA28" s="48" t="str">
        <f t="shared" si="7"/>
        <v xml:space="preserve">SVATEK Miroslav </v>
      </c>
      <c r="AB28" s="49"/>
      <c r="AC28" s="49"/>
      <c r="AD28" s="49"/>
      <c r="AE28" s="52"/>
      <c r="AF28" s="46">
        <v>146</v>
      </c>
      <c r="AG28" s="47" t="str">
        <f t="shared" si="8"/>
        <v>CZE19970414</v>
      </c>
      <c r="AH28" s="48" t="str">
        <f t="shared" si="9"/>
        <v xml:space="preserve">DVOŘÁK Jakub </v>
      </c>
      <c r="AI28" s="49"/>
      <c r="AJ28" s="49"/>
      <c r="AK28" s="50"/>
      <c r="AL28" s="51"/>
      <c r="AM28" s="52"/>
      <c r="AN28" s="47">
        <v>194</v>
      </c>
      <c r="AO28" s="47" t="str">
        <f t="shared" si="12"/>
        <v>CZE20001026*</v>
      </c>
      <c r="AP28" s="48" t="str">
        <f t="shared" si="13"/>
        <v>ANDRLE David</v>
      </c>
      <c r="AQ28" s="49"/>
      <c r="AR28" s="49"/>
      <c r="AS28" s="49"/>
    </row>
    <row r="29" spans="1:45" ht="39" customHeight="1" x14ac:dyDescent="0.25">
      <c r="A29" s="45"/>
      <c r="B29" s="46">
        <v>22</v>
      </c>
      <c r="C29" s="47" t="str">
        <f t="shared" si="16"/>
        <v>CZE19970821</v>
      </c>
      <c r="D29" s="48" t="str">
        <f t="shared" si="17"/>
        <v xml:space="preserve">LAŠTŮVKA David </v>
      </c>
      <c r="E29" s="49"/>
      <c r="F29" s="49"/>
      <c r="G29" s="50"/>
      <c r="H29" s="51"/>
      <c r="I29" s="52"/>
      <c r="J29" s="46">
        <v>54</v>
      </c>
      <c r="K29" s="47" t="str">
        <f t="shared" si="2"/>
        <v>*CZE19980726</v>
      </c>
      <c r="L29" s="48" t="str">
        <f t="shared" si="3"/>
        <v>POKORNÝ Petr</v>
      </c>
      <c r="M29" s="49"/>
      <c r="N29" s="49"/>
      <c r="O29" s="49"/>
      <c r="P29" s="52"/>
      <c r="Q29" s="46">
        <v>81</v>
      </c>
      <c r="R29" s="47" t="str">
        <f t="shared" si="14"/>
        <v>*GER19980505</v>
      </c>
      <c r="S29" s="48" t="str">
        <f t="shared" si="15"/>
        <v>HAUPT Tarik</v>
      </c>
      <c r="T29" s="49"/>
      <c r="U29" s="49"/>
      <c r="V29" s="50"/>
      <c r="W29" s="51"/>
      <c r="X29" s="52"/>
      <c r="Y29" s="46">
        <v>118</v>
      </c>
      <c r="Z29" s="47" t="str">
        <f t="shared" si="6"/>
        <v>CZE19970110</v>
      </c>
      <c r="AA29" s="48" t="str">
        <f t="shared" si="7"/>
        <v xml:space="preserve">KŘIKAVA Jakub </v>
      </c>
      <c r="AB29" s="49"/>
      <c r="AC29" s="49"/>
      <c r="AD29" s="49"/>
      <c r="AE29" s="52"/>
      <c r="AF29" s="46">
        <v>147</v>
      </c>
      <c r="AG29" s="47" t="str">
        <f t="shared" si="8"/>
        <v>CZE19970127</v>
      </c>
      <c r="AH29" s="48" t="str">
        <f t="shared" si="9"/>
        <v xml:space="preserve">KOTOUČEK Matěj </v>
      </c>
      <c r="AI29" s="49"/>
      <c r="AJ29" s="49"/>
      <c r="AK29" s="50"/>
      <c r="AL29" s="51"/>
      <c r="AM29" s="52"/>
      <c r="AN29" s="47">
        <v>195</v>
      </c>
      <c r="AO29" s="47" t="str">
        <f t="shared" si="12"/>
        <v>CZE19991006*</v>
      </c>
      <c r="AP29" s="48" t="str">
        <f t="shared" si="13"/>
        <v>DUS Albert</v>
      </c>
      <c r="AQ29" s="49"/>
      <c r="AR29" s="49"/>
      <c r="AS29" s="49"/>
    </row>
    <row r="30" spans="1:45" ht="39" customHeight="1" x14ac:dyDescent="0.25">
      <c r="A30" s="45"/>
      <c r="B30" s="46">
        <v>23</v>
      </c>
      <c r="C30" s="47" t="str">
        <f t="shared" si="16"/>
        <v>CZE19990521*</v>
      </c>
      <c r="D30" s="48" t="str">
        <f t="shared" si="17"/>
        <v xml:space="preserve">CINK Jan </v>
      </c>
      <c r="E30" s="49"/>
      <c r="F30" s="49"/>
      <c r="G30" s="50"/>
      <c r="H30" s="51"/>
      <c r="I30" s="52"/>
      <c r="J30" s="46">
        <v>55</v>
      </c>
      <c r="K30" s="47" t="str">
        <f t="shared" si="2"/>
        <v>CZE19971111</v>
      </c>
      <c r="L30" s="48" t="str">
        <f t="shared" si="3"/>
        <v>VÁVRA Marek</v>
      </c>
      <c r="M30" s="49"/>
      <c r="N30" s="49"/>
      <c r="O30" s="49"/>
      <c r="P30" s="52"/>
      <c r="Q30" s="46">
        <v>82</v>
      </c>
      <c r="R30" s="47" t="str">
        <f t="shared" si="14"/>
        <v>*GER19980319</v>
      </c>
      <c r="S30" s="48" t="str">
        <f t="shared" si="15"/>
        <v>MEILER Martin</v>
      </c>
      <c r="T30" s="49"/>
      <c r="U30" s="49"/>
      <c r="V30" s="50"/>
      <c r="W30" s="51"/>
      <c r="X30" s="52"/>
      <c r="Y30" s="46">
        <v>119</v>
      </c>
      <c r="Z30" s="47" t="str">
        <f t="shared" si="6"/>
        <v>CZE19990706*</v>
      </c>
      <c r="AA30" s="48" t="str">
        <f t="shared" si="7"/>
        <v xml:space="preserve">TUHÝ Jan </v>
      </c>
      <c r="AB30" s="49"/>
      <c r="AC30" s="49"/>
      <c r="AD30" s="49"/>
      <c r="AE30" s="52"/>
      <c r="AF30" s="46">
        <v>148</v>
      </c>
      <c r="AG30" s="47" t="str">
        <f t="shared" si="8"/>
        <v>CZE19970409</v>
      </c>
      <c r="AH30" s="48" t="str">
        <f t="shared" si="9"/>
        <v xml:space="preserve">POTŮČEK Šimon </v>
      </c>
      <c r="AI30" s="49"/>
      <c r="AJ30" s="49"/>
      <c r="AK30" s="50"/>
      <c r="AL30" s="51"/>
      <c r="AM30" s="52"/>
      <c r="AN30" s="47">
        <v>196</v>
      </c>
      <c r="AO30" s="47" t="str">
        <f t="shared" si="12"/>
        <v>CZE19991009*</v>
      </c>
      <c r="AP30" s="48" t="str">
        <f t="shared" si="13"/>
        <v xml:space="preserve">HOLFEUER Dan </v>
      </c>
      <c r="AQ30" s="49"/>
      <c r="AR30" s="49"/>
      <c r="AS30" s="49"/>
    </row>
    <row r="31" spans="1:45" ht="39" customHeight="1" x14ac:dyDescent="0.25">
      <c r="A31" s="45"/>
      <c r="B31" s="46">
        <v>24</v>
      </c>
      <c r="C31" s="47" t="str">
        <f t="shared" si="16"/>
        <v>CZE20001025*</v>
      </c>
      <c r="D31" s="48" t="str">
        <f t="shared" si="17"/>
        <v xml:space="preserve">KLIMEK David </v>
      </c>
      <c r="E31" s="49"/>
      <c r="F31" s="49"/>
      <c r="G31" s="50"/>
      <c r="H31" s="51"/>
      <c r="I31" s="52"/>
      <c r="J31" s="46">
        <v>56</v>
      </c>
      <c r="K31" s="47" t="str">
        <f t="shared" si="2"/>
        <v>POL19970322</v>
      </c>
      <c r="L31" s="48" t="str">
        <f t="shared" si="3"/>
        <v>FOLTYN Maciej</v>
      </c>
      <c r="M31" s="49"/>
      <c r="N31" s="49"/>
      <c r="O31" s="49"/>
      <c r="P31" s="52"/>
      <c r="Q31" s="46">
        <v>83</v>
      </c>
      <c r="R31" s="47" t="str">
        <f t="shared" si="14"/>
        <v>*GER19980312</v>
      </c>
      <c r="S31" s="48" t="str">
        <f t="shared" si="15"/>
        <v>MÖBIS Maximilian</v>
      </c>
      <c r="T31" s="49"/>
      <c r="U31" s="49"/>
      <c r="V31" s="50"/>
      <c r="W31" s="51"/>
      <c r="X31" s="52"/>
      <c r="Y31" s="46">
        <v>121</v>
      </c>
      <c r="Z31" s="47" t="str">
        <f t="shared" si="6"/>
        <v>CZE19990209*</v>
      </c>
      <c r="AA31" s="48" t="str">
        <f t="shared" si="7"/>
        <v xml:space="preserve">HONZÁK David </v>
      </c>
      <c r="AB31" s="49"/>
      <c r="AC31" s="49"/>
      <c r="AD31" s="49"/>
      <c r="AE31" s="52"/>
      <c r="AF31" s="46">
        <v>149</v>
      </c>
      <c r="AG31" s="47" t="str">
        <f t="shared" si="8"/>
        <v>*CZE19980519</v>
      </c>
      <c r="AH31" s="48" t="str">
        <f t="shared" si="9"/>
        <v xml:space="preserve">VOSTREJŽ David </v>
      </c>
      <c r="AI31" s="49"/>
      <c r="AJ31" s="49"/>
      <c r="AK31" s="50"/>
      <c r="AL31" s="51"/>
      <c r="AM31" s="52"/>
      <c r="AN31" s="47">
        <v>197</v>
      </c>
      <c r="AO31" s="47" t="str">
        <f t="shared" si="12"/>
        <v>*CZE19980830</v>
      </c>
      <c r="AP31" s="48" t="str">
        <f t="shared" si="13"/>
        <v xml:space="preserve">PARMA Dominik </v>
      </c>
      <c r="AQ31" s="49"/>
      <c r="AR31" s="49"/>
      <c r="AS31" s="49"/>
    </row>
    <row r="32" spans="1:45" ht="39" customHeight="1" x14ac:dyDescent="0.25">
      <c r="A32" s="45"/>
      <c r="B32" s="46">
        <v>25</v>
      </c>
      <c r="C32" s="47" t="str">
        <f t="shared" si="16"/>
        <v>CZE20000911*</v>
      </c>
      <c r="D32" s="48" t="str">
        <f t="shared" si="17"/>
        <v xml:space="preserve">KMÍNEK Vojtěch </v>
      </c>
      <c r="E32" s="49"/>
      <c r="F32" s="49"/>
      <c r="G32" s="50"/>
      <c r="H32" s="51"/>
      <c r="I32" s="52"/>
      <c r="J32" s="46">
        <v>57</v>
      </c>
      <c r="K32" s="47" t="str">
        <f t="shared" si="2"/>
        <v>POL19970825</v>
      </c>
      <c r="L32" s="48" t="str">
        <f t="shared" si="3"/>
        <v xml:space="preserve">GRZEGORZYCA Dominik </v>
      </c>
      <c r="M32" s="49"/>
      <c r="N32" s="49"/>
      <c r="O32" s="49"/>
      <c r="P32" s="52"/>
      <c r="Q32" s="46">
        <v>84</v>
      </c>
      <c r="R32" s="47" t="str">
        <f t="shared" si="14"/>
        <v>*GER19981211</v>
      </c>
      <c r="S32" s="48" t="str">
        <f t="shared" si="15"/>
        <v>RUDOLPH Poul</v>
      </c>
      <c r="T32" s="49"/>
      <c r="U32" s="49"/>
      <c r="V32" s="50"/>
      <c r="W32" s="51"/>
      <c r="X32" s="52"/>
      <c r="Y32" s="46">
        <v>122</v>
      </c>
      <c r="Z32" s="47" t="str">
        <f t="shared" si="6"/>
        <v>*CZE19980914</v>
      </c>
      <c r="AA32" s="48" t="str">
        <f t="shared" si="7"/>
        <v xml:space="preserve">HRUBÝ Jakub </v>
      </c>
      <c r="AB32" s="49"/>
      <c r="AC32" s="49"/>
      <c r="AD32" s="49"/>
      <c r="AE32" s="52"/>
      <c r="AF32" s="46">
        <v>150</v>
      </c>
      <c r="AG32" s="47" t="str">
        <f t="shared" si="8"/>
        <v>*CZE19980624</v>
      </c>
      <c r="AH32" s="48" t="str">
        <f t="shared" si="9"/>
        <v>PRUDEK Dominik</v>
      </c>
      <c r="AI32" s="49"/>
      <c r="AJ32" s="49"/>
      <c r="AK32" s="50"/>
      <c r="AL32" s="51"/>
      <c r="AM32" s="52"/>
      <c r="AN32" s="47">
        <v>198</v>
      </c>
      <c r="AO32" s="47" t="str">
        <f t="shared" si="12"/>
        <v>SVK19991205*</v>
      </c>
      <c r="AP32" s="48" t="str">
        <f t="shared" si="13"/>
        <v>VRANKO Daniel</v>
      </c>
      <c r="AQ32" s="49"/>
      <c r="AR32" s="49"/>
      <c r="AS32" s="49"/>
    </row>
    <row r="33" spans="1:45" ht="39" customHeight="1" x14ac:dyDescent="0.25">
      <c r="A33" s="45"/>
      <c r="B33" s="46">
        <v>26</v>
      </c>
      <c r="C33" s="47" t="str">
        <f t="shared" si="16"/>
        <v>*CZE19980923</v>
      </c>
      <c r="D33" s="48" t="str">
        <f t="shared" si="17"/>
        <v xml:space="preserve">KUČERA Michal </v>
      </c>
      <c r="E33" s="49"/>
      <c r="F33" s="49"/>
      <c r="G33" s="50"/>
      <c r="H33" s="51"/>
      <c r="I33" s="52"/>
      <c r="J33" s="46">
        <v>58</v>
      </c>
      <c r="K33" s="47" t="str">
        <f t="shared" si="2"/>
        <v>POL19990111*</v>
      </c>
      <c r="L33" s="48" t="str">
        <f t="shared" si="3"/>
        <v xml:space="preserve">MIGAS Dawid </v>
      </c>
      <c r="M33" s="49"/>
      <c r="N33" s="49"/>
      <c r="O33" s="49"/>
      <c r="P33" s="52"/>
      <c r="Q33" s="46">
        <v>85</v>
      </c>
      <c r="R33" s="47" t="str">
        <f t="shared" si="14"/>
        <v>GER19970211</v>
      </c>
      <c r="S33" s="48" t="str">
        <f t="shared" si="15"/>
        <v>URNAUER Lauritz</v>
      </c>
      <c r="T33" s="49"/>
      <c r="U33" s="49"/>
      <c r="V33" s="50"/>
      <c r="W33" s="51"/>
      <c r="X33" s="52"/>
      <c r="Y33" s="46">
        <v>123</v>
      </c>
      <c r="Z33" s="47" t="str">
        <f t="shared" si="6"/>
        <v>*CZE19980217</v>
      </c>
      <c r="AA33" s="48" t="str">
        <f t="shared" si="7"/>
        <v xml:space="preserve">ŠIMŮNEK Adam </v>
      </c>
      <c r="AB33" s="49"/>
      <c r="AC33" s="49"/>
      <c r="AD33" s="49"/>
      <c r="AE33" s="52"/>
      <c r="AF33" s="46">
        <v>151</v>
      </c>
      <c r="AG33" s="47" t="str">
        <f t="shared" si="8"/>
        <v>POL19990406*</v>
      </c>
      <c r="AH33" s="48" t="str">
        <f t="shared" si="9"/>
        <v>MANOWSKI Mateusz</v>
      </c>
      <c r="AI33" s="49"/>
      <c r="AJ33" s="49"/>
      <c r="AK33" s="50"/>
      <c r="AL33" s="51"/>
      <c r="AM33" s="52"/>
      <c r="AN33" s="47"/>
      <c r="AO33" s="47"/>
      <c r="AP33" s="53"/>
      <c r="AQ33" s="49"/>
      <c r="AR33" s="49"/>
      <c r="AS33" s="49"/>
    </row>
    <row r="34" spans="1:45" ht="39" customHeight="1" x14ac:dyDescent="0.25">
      <c r="A34" s="45"/>
      <c r="B34" s="46">
        <v>27</v>
      </c>
      <c r="C34" s="47" t="str">
        <f t="shared" si="16"/>
        <v>CZE19970516</v>
      </c>
      <c r="D34" s="48" t="str">
        <f t="shared" si="17"/>
        <v xml:space="preserve">ŠORM Jiří </v>
      </c>
      <c r="E34" s="49"/>
      <c r="F34" s="49"/>
      <c r="G34" s="50"/>
      <c r="H34" s="51"/>
      <c r="I34" s="52"/>
      <c r="J34" s="46">
        <v>59</v>
      </c>
      <c r="K34" s="47" t="str">
        <f t="shared" si="2"/>
        <v>POL19971003</v>
      </c>
      <c r="L34" s="48" t="str">
        <f t="shared" si="3"/>
        <v>INDEKA Kamil</v>
      </c>
      <c r="M34" s="49"/>
      <c r="N34" s="49"/>
      <c r="O34" s="49"/>
      <c r="P34" s="52"/>
      <c r="Q34" s="46">
        <v>86</v>
      </c>
      <c r="R34" s="47" t="str">
        <f t="shared" si="14"/>
        <v>*GER19980223</v>
      </c>
      <c r="S34" s="48" t="str">
        <f t="shared" si="15"/>
        <v>PLAMBECK Philipp</v>
      </c>
      <c r="T34" s="49"/>
      <c r="U34" s="49"/>
      <c r="V34" s="50"/>
      <c r="W34" s="51"/>
      <c r="X34" s="52"/>
      <c r="Y34" s="46">
        <v>124</v>
      </c>
      <c r="Z34" s="47" t="str">
        <f t="shared" si="6"/>
        <v>CZE19830420</v>
      </c>
      <c r="AA34" s="48" t="str">
        <f t="shared" si="7"/>
        <v xml:space="preserve">HAVLÍKOVÁ Pavla </v>
      </c>
      <c r="AB34" s="49"/>
      <c r="AC34" s="49"/>
      <c r="AD34" s="49"/>
      <c r="AE34" s="52"/>
      <c r="AF34" s="46">
        <v>152</v>
      </c>
      <c r="AG34" s="47" t="str">
        <f t="shared" si="8"/>
        <v>POL20000206*</v>
      </c>
      <c r="AH34" s="48" t="str">
        <f t="shared" si="9"/>
        <v>WENGLORZ Michał</v>
      </c>
      <c r="AI34" s="49"/>
      <c r="AJ34" s="49"/>
      <c r="AK34" s="50"/>
      <c r="AL34" s="51"/>
      <c r="AM34" s="52"/>
      <c r="AN34" s="47"/>
      <c r="AO34" s="47"/>
      <c r="AP34" s="53"/>
      <c r="AQ34" s="49"/>
      <c r="AR34" s="49"/>
      <c r="AS34" s="49"/>
    </row>
    <row r="35" spans="1:45" ht="20.25" customHeight="1" x14ac:dyDescent="0.25">
      <c r="A35" s="54"/>
      <c r="B35" s="55" t="str">
        <f ca="1">INDIRECT("NRIDERS"&amp;(RIGHT(A3,1)))</f>
        <v>počet závodíků / num. of riders: 148</v>
      </c>
      <c r="C35" s="55"/>
      <c r="D35" s="56"/>
      <c r="E35" s="54"/>
      <c r="F35" s="54"/>
      <c r="G35" s="54"/>
      <c r="I35" s="54"/>
      <c r="J35" s="54"/>
      <c r="K35" s="55"/>
      <c r="L35" s="56"/>
      <c r="M35" s="54"/>
      <c r="N35" s="54"/>
      <c r="O35" s="54"/>
      <c r="P35" s="54"/>
      <c r="Q35" s="55" t="str">
        <f ca="1">INDIRECT("NRIDERS"&amp;(RIGHT(A3,1)))</f>
        <v>počet závodíků / num. of riders: 148</v>
      </c>
      <c r="R35" s="55"/>
      <c r="S35" s="56"/>
      <c r="T35" s="54"/>
      <c r="U35" s="54"/>
      <c r="V35" s="54"/>
      <c r="X35" s="54"/>
      <c r="Y35" s="54"/>
      <c r="Z35" s="55"/>
      <c r="AA35" s="56"/>
      <c r="AB35" s="54"/>
      <c r="AC35" s="54"/>
      <c r="AD35" s="54"/>
      <c r="AE35" s="54"/>
      <c r="AF35" s="55" t="str">
        <f ca="1">INDIRECT("NRIDERS"&amp;(RIGHT(A3,1)))</f>
        <v>počet závodíků / num. of riders: 148</v>
      </c>
      <c r="AG35" s="55"/>
      <c r="AH35" s="56"/>
      <c r="AI35" s="54"/>
      <c r="AJ35" s="54"/>
      <c r="AK35" s="54"/>
      <c r="AM35" s="54"/>
      <c r="AN35" s="54"/>
      <c r="AO35" s="55"/>
      <c r="AP35" s="56"/>
      <c r="AQ35" s="54"/>
      <c r="AR35" s="54"/>
      <c r="AS35" s="54"/>
    </row>
    <row r="36" spans="1:45" ht="13.2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</row>
  </sheetData>
  <mergeCells count="12">
    <mergeCell ref="A1:O1"/>
    <mergeCell ref="A2:O2"/>
    <mergeCell ref="D3:M3"/>
    <mergeCell ref="A4:O4"/>
    <mergeCell ref="AE1:AS1"/>
    <mergeCell ref="AE2:AS2"/>
    <mergeCell ref="AH3:AQ3"/>
    <mergeCell ref="AE4:AS4"/>
    <mergeCell ref="P1:AD1"/>
    <mergeCell ref="P2:AD2"/>
    <mergeCell ref="S3:AB3"/>
    <mergeCell ref="P4:AD4"/>
  </mergeCells>
  <pageMargins left="0.39370078740157483" right="0.45" top="0.31496062992125984" bottom="0.33" header="0.23622047244094491" footer="0.19685039370078741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14999847407452621"/>
  </sheetPr>
  <dimension ref="A1:X201"/>
  <sheetViews>
    <sheetView zoomScaleNormal="100" workbookViewId="0">
      <pane ySplit="1" topLeftCell="A2" activePane="bottomLeft" state="frozen"/>
      <selection pane="bottomLeft" activeCell="A2" sqref="A2:K2"/>
    </sheetView>
  </sheetViews>
  <sheetFormatPr defaultColWidth="8.88671875" defaultRowHeight="13.8" outlineLevelCol="1" x14ac:dyDescent="0.3"/>
  <cols>
    <col min="1" max="1" width="4.88671875" style="3" customWidth="1"/>
    <col min="2" max="2" width="6.6640625" style="3" customWidth="1"/>
    <col min="3" max="3" width="13.109375" style="36" customWidth="1"/>
    <col min="4" max="4" width="23.88671875" style="3" customWidth="1"/>
    <col min="5" max="5" width="34.44140625" style="3" customWidth="1"/>
    <col min="6" max="6" width="9.6640625" style="3" bestFit="1" customWidth="1"/>
    <col min="7" max="7" width="7.44140625" style="3" bestFit="1" customWidth="1"/>
    <col min="8" max="8" width="8" style="3" bestFit="1" customWidth="1"/>
    <col min="9" max="9" width="10.33203125" style="3" customWidth="1"/>
    <col min="10" max="11" width="10" style="3" customWidth="1"/>
    <col min="12" max="12" width="8.88671875" style="18"/>
    <col min="13" max="16" width="8.88671875" style="18" hidden="1" customWidth="1" outlineLevel="1"/>
    <col min="17" max="17" width="8.88671875" style="18" collapsed="1"/>
    <col min="18" max="23" width="8.88671875" style="18" hidden="1" customWidth="1" outlineLevel="1"/>
    <col min="24" max="24" width="8.88671875" style="18" collapsed="1"/>
    <col min="25" max="16384" width="8.88671875" style="18"/>
  </cols>
  <sheetData>
    <row r="1" spans="1:23" s="3" customFormat="1" ht="33.75" customHeight="1" x14ac:dyDescent="0.5">
      <c r="A1" s="336" t="str">
        <f>CTRL!B7</f>
        <v>R E G I O N E M   O R L I C K A   L A N Š K R O U N   2 0 1 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V1" s="132" t="str">
        <f>IF(MAX(W:W)&gt;1,"DUPLICITA","")</f>
        <v/>
      </c>
    </row>
    <row r="2" spans="1:23" s="3" customFormat="1" ht="15.6" x14ac:dyDescent="0.3">
      <c r="A2" s="337" t="str">
        <f>CTRL!B8</f>
        <v>29. ročník mezinárodního cyklistického závodu juniorů / 29th edition of international cycling race of juniors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</row>
    <row r="3" spans="1:23" s="3" customFormat="1" ht="18" x14ac:dyDescent="0.35">
      <c r="A3" s="30" t="str">
        <f ca="1">MID(CELL("filename",A1),FIND("]",CELL("filename",A1))+1,256)</f>
        <v>ET1</v>
      </c>
      <c r="C3" s="36"/>
      <c r="D3" s="338" t="str">
        <f ca="1">INDIRECT("NAZE"&amp;(RIGHT(A3,1)))</f>
        <v>1. etapa / 1st Stage</v>
      </c>
      <c r="E3" s="338"/>
      <c r="F3" s="338"/>
      <c r="G3" s="338"/>
      <c r="H3" s="338"/>
      <c r="I3" s="58"/>
      <c r="K3" s="59" t="str">
        <f>"Com.no.: 4/" &amp; CTRL!B27</f>
        <v>Com.no.: 4/33</v>
      </c>
    </row>
    <row r="4" spans="1:23" s="3" customFormat="1" x14ac:dyDescent="0.3">
      <c r="A4" s="120" t="str">
        <f ca="1">"Datum / Date: "&amp;TEXT(INDIRECT("DATUM"&amp;(RIGHT(A3,1))),"dd.mm.rrrr")</f>
        <v>Datum / Date: 07.08.2015</v>
      </c>
      <c r="C4" s="36"/>
      <c r="K4" s="62" t="str">
        <f ca="1">"Místo konání / Place: "&amp;INDIRECT("MISTO"&amp;(RIGHT(A3,1)))&amp;" "</f>
        <v xml:space="preserve">Místo konání / Place: Lanškroun (CZE) </v>
      </c>
    </row>
    <row r="5" spans="1:23" s="3" customFormat="1" ht="21" x14ac:dyDescent="0.3">
      <c r="A5" s="339" t="str">
        <f>VLIST</f>
        <v>Výsledková listina / Result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</row>
    <row r="6" spans="1:23" s="3" customFormat="1" ht="9" customHeight="1" x14ac:dyDescent="0.3">
      <c r="C6" s="36"/>
    </row>
    <row r="7" spans="1:23" s="3" customFormat="1" x14ac:dyDescent="0.3">
      <c r="A7" s="37" t="s">
        <v>0</v>
      </c>
      <c r="B7" s="37" t="s">
        <v>1</v>
      </c>
      <c r="C7" s="37" t="s">
        <v>2</v>
      </c>
      <c r="D7" s="37" t="s">
        <v>3</v>
      </c>
      <c r="E7" s="37" t="s">
        <v>4</v>
      </c>
      <c r="F7" s="37" t="s">
        <v>5</v>
      </c>
      <c r="G7" s="37" t="s">
        <v>48</v>
      </c>
      <c r="H7" s="37" t="s">
        <v>12</v>
      </c>
      <c r="I7" s="37" t="s">
        <v>42</v>
      </c>
      <c r="J7" s="37" t="s">
        <v>27</v>
      </c>
      <c r="K7" s="37" t="s">
        <v>77</v>
      </c>
      <c r="M7" s="37" t="s">
        <v>77</v>
      </c>
      <c r="N7" s="37" t="s">
        <v>77</v>
      </c>
      <c r="O7" s="37" t="s">
        <v>89</v>
      </c>
      <c r="P7" s="37" t="s">
        <v>90</v>
      </c>
      <c r="R7" s="133" t="s">
        <v>97</v>
      </c>
      <c r="S7" s="133" t="s">
        <v>98</v>
      </c>
      <c r="T7" s="134" t="s">
        <v>99</v>
      </c>
      <c r="U7" s="134" t="s">
        <v>100</v>
      </c>
      <c r="V7" s="135" t="s">
        <v>97</v>
      </c>
      <c r="W7" s="134" t="s">
        <v>101</v>
      </c>
    </row>
    <row r="8" spans="1:23" s="3" customFormat="1" x14ac:dyDescent="0.3">
      <c r="A8" s="38" t="s">
        <v>6</v>
      </c>
      <c r="B8" s="38" t="s">
        <v>7</v>
      </c>
      <c r="C8" s="38" t="s">
        <v>8</v>
      </c>
      <c r="D8" s="38" t="s">
        <v>9</v>
      </c>
      <c r="E8" s="38" t="s">
        <v>14</v>
      </c>
      <c r="F8" s="38" t="s">
        <v>10</v>
      </c>
      <c r="G8" s="38" t="s">
        <v>49</v>
      </c>
      <c r="H8" s="38" t="s">
        <v>11</v>
      </c>
      <c r="I8" s="38" t="s">
        <v>43</v>
      </c>
      <c r="J8" s="38" t="s">
        <v>41</v>
      </c>
      <c r="K8" s="38" t="s">
        <v>78</v>
      </c>
      <c r="M8" s="38" t="s">
        <v>87</v>
      </c>
      <c r="N8" s="38" t="s">
        <v>88</v>
      </c>
      <c r="O8" s="38"/>
      <c r="P8" s="38"/>
      <c r="R8" s="136"/>
      <c r="S8" s="133"/>
      <c r="T8" s="137"/>
      <c r="U8" s="137"/>
      <c r="V8" s="138"/>
      <c r="W8" s="137"/>
    </row>
    <row r="9" spans="1:23" s="3" customFormat="1" ht="8.25" customHeight="1" thickBot="1" x14ac:dyDescent="0.35">
      <c r="C9" s="36"/>
      <c r="R9" s="136"/>
      <c r="S9" s="133"/>
      <c r="T9" s="137"/>
      <c r="U9" s="137"/>
      <c r="V9" s="138"/>
      <c r="W9" s="137"/>
    </row>
    <row r="10" spans="1:23" s="3" customFormat="1" ht="14.25" customHeight="1" x14ac:dyDescent="0.3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M10" s="139"/>
      <c r="N10" s="139"/>
      <c r="O10" s="139"/>
      <c r="P10" s="139"/>
      <c r="R10" s="136"/>
      <c r="S10" s="133"/>
      <c r="T10" s="137"/>
      <c r="U10" s="137"/>
      <c r="V10" s="138"/>
      <c r="W10" s="137"/>
    </row>
    <row r="11" spans="1:23" s="3" customFormat="1" ht="14.4" x14ac:dyDescent="0.3">
      <c r="A11" s="63" t="str">
        <f ca="1" xml:space="preserve"> "Délka / Distance: " &amp; INDIRECT("ETAP"&amp;(RIGHT(A3,1))) &amp; " km"</f>
        <v>Délka / Distance: 77 km</v>
      </c>
      <c r="B11" s="64"/>
      <c r="C11" s="64"/>
      <c r="D11" s="64"/>
      <c r="E11" s="65"/>
      <c r="F11" s="65"/>
      <c r="G11" s="65"/>
      <c r="H11" s="65"/>
      <c r="I11" s="65"/>
      <c r="J11" s="65"/>
      <c r="K11" s="65" t="str">
        <f ca="1">"Průměrná rychlost / Average Speed: " &amp; ROUND(INDIRECT("ETAP"&amp;(RIGHT(A3,1)))/(HOUR($I$12)+(MINUTE($I$12)+SECOND($I$12)/60)/60),2) &amp; " km/h"</f>
        <v>Průměrná rychlost / Average Speed: 41 km/h</v>
      </c>
      <c r="M11" s="65"/>
      <c r="N11" s="65"/>
      <c r="O11" s="65"/>
      <c r="P11" s="65"/>
      <c r="Q11" s="140"/>
      <c r="R11" s="136"/>
      <c r="S11" s="133"/>
      <c r="T11" s="137"/>
      <c r="U11" s="137"/>
      <c r="V11" s="138"/>
      <c r="W11" s="137"/>
    </row>
    <row r="12" spans="1:23" s="127" customFormat="1" ht="13.65" customHeight="1" x14ac:dyDescent="0.3">
      <c r="A12" s="45">
        <v>1</v>
      </c>
      <c r="B12" s="47">
        <v>34</v>
      </c>
      <c r="C12" s="121" t="str">
        <f t="shared" ref="C12:C43" si="0">VLOOKUP(B12,STARTOVKA,2,0)</f>
        <v>GER19970125</v>
      </c>
      <c r="D12" s="122" t="str">
        <f t="shared" ref="D12:D43" si="1">VLOOKUP(B12,STARTOVKA,3,0)</f>
        <v>FRANZ Toni</v>
      </c>
      <c r="E12" s="123" t="str">
        <f t="shared" ref="E12:E43" si="2">VLOOKUP(B12,STARTOVKA,4,0)</f>
        <v>JUNIOREN SCHWALBE TEAM SACHSEN</v>
      </c>
      <c r="F12" s="124" t="str">
        <f t="shared" ref="F12:F43" si="3">VLOOKUP(B12,STARTOVKA,5,0)</f>
        <v>SAC134961</v>
      </c>
      <c r="G12" s="125" t="str">
        <f t="shared" ref="G12:G43" si="4">VLOOKUP(B12,STARTOVKA,6,0)</f>
        <v xml:space="preserve">JUNIOR </v>
      </c>
      <c r="H12" s="125" t="str">
        <f t="shared" ref="H12:H43" si="5">VLOOKUP(B12,STARTOVKA,7,0)</f>
        <v>SAC</v>
      </c>
      <c r="I12" s="141">
        <v>7.8252314814814816E-2</v>
      </c>
      <c r="J12" s="70">
        <f t="shared" ref="J12:J43" si="6">I12-$I$12</f>
        <v>0</v>
      </c>
      <c r="K12" s="70">
        <f>M12+N12</f>
        <v>1.1574074074074073E-4</v>
      </c>
      <c r="M12" s="70"/>
      <c r="N12" s="70">
        <v>1.1574074074074073E-4</v>
      </c>
      <c r="O12" s="70"/>
      <c r="P12" s="142">
        <f t="shared" ref="P12:P75" si="7">I12-K12+O12</f>
        <v>7.8136574074074081E-2</v>
      </c>
      <c r="R12" s="143">
        <v>34</v>
      </c>
      <c r="S12" s="144">
        <v>1</v>
      </c>
      <c r="T12" s="138">
        <f>IF(R12&lt;&gt;"",R12,"")</f>
        <v>34</v>
      </c>
      <c r="U12" s="145">
        <v>1</v>
      </c>
      <c r="V12" s="146">
        <v>1</v>
      </c>
      <c r="W12" s="138">
        <f t="shared" ref="W12:W43" si="8">SUMIF(T:T,V:V,U:U)</f>
        <v>1</v>
      </c>
    </row>
    <row r="13" spans="1:23" s="127" customFormat="1" ht="13.65" customHeight="1" x14ac:dyDescent="0.3">
      <c r="A13" s="45">
        <v>2</v>
      </c>
      <c r="B13" s="47">
        <v>2</v>
      </c>
      <c r="C13" s="121" t="str">
        <f t="shared" si="0"/>
        <v>GER19970122</v>
      </c>
      <c r="D13" s="122" t="str">
        <f t="shared" si="1"/>
        <v>BERAN Andy</v>
      </c>
      <c r="E13" s="123" t="str">
        <f t="shared" si="2"/>
        <v>RSC COTTBUS</v>
      </c>
      <c r="F13" s="124" t="str">
        <f t="shared" si="3"/>
        <v>BRA604254</v>
      </c>
      <c r="G13" s="125" t="str">
        <f t="shared" si="4"/>
        <v xml:space="preserve">JUNIOR </v>
      </c>
      <c r="H13" s="125" t="str">
        <f t="shared" si="5"/>
        <v>COT</v>
      </c>
      <c r="I13" s="141">
        <v>7.8252314814814816E-2</v>
      </c>
      <c r="J13" s="70">
        <f t="shared" si="6"/>
        <v>0</v>
      </c>
      <c r="K13" s="70">
        <f t="shared" ref="K13:K76" si="9">M13+N13</f>
        <v>6.9444444444444444E-5</v>
      </c>
      <c r="M13" s="70"/>
      <c r="N13" s="70">
        <v>6.9444444444444444E-5</v>
      </c>
      <c r="O13" s="70"/>
      <c r="P13" s="142">
        <f t="shared" si="7"/>
        <v>7.8182870370370375E-2</v>
      </c>
      <c r="R13" s="143">
        <v>2</v>
      </c>
      <c r="S13" s="144">
        <v>2</v>
      </c>
      <c r="T13" s="138">
        <f t="shared" ref="T13:T76" si="10">IF(R13&lt;&gt;"",R13,"")</f>
        <v>2</v>
      </c>
      <c r="U13" s="145">
        <v>1</v>
      </c>
      <c r="V13" s="146">
        <v>2</v>
      </c>
      <c r="W13" s="138">
        <f t="shared" si="8"/>
        <v>1</v>
      </c>
    </row>
    <row r="14" spans="1:23" s="127" customFormat="1" ht="13.65" customHeight="1" x14ac:dyDescent="0.3">
      <c r="A14" s="45">
        <v>3</v>
      </c>
      <c r="B14" s="47">
        <v>84</v>
      </c>
      <c r="C14" s="121" t="str">
        <f t="shared" si="0"/>
        <v>*GER19981211</v>
      </c>
      <c r="D14" s="122" t="str">
        <f t="shared" si="1"/>
        <v>RUDOLPH Poul</v>
      </c>
      <c r="E14" s="123" t="str">
        <f t="shared" si="2"/>
        <v>GERMAN NATIONAL TEAM</v>
      </c>
      <c r="F14" s="124" t="str">
        <f t="shared" si="3"/>
        <v>BER032411</v>
      </c>
      <c r="G14" s="125" t="str">
        <f t="shared" si="4"/>
        <v>JUNIOR *</v>
      </c>
      <c r="H14" s="125" t="str">
        <f t="shared" si="5"/>
        <v>GER</v>
      </c>
      <c r="I14" s="141">
        <v>7.8252314814814816E-2</v>
      </c>
      <c r="J14" s="70">
        <f t="shared" si="6"/>
        <v>0</v>
      </c>
      <c r="K14" s="70">
        <f t="shared" si="9"/>
        <v>4.6296296296296294E-5</v>
      </c>
      <c r="M14" s="70"/>
      <c r="N14" s="70">
        <v>4.6296296296296294E-5</v>
      </c>
      <c r="O14" s="70"/>
      <c r="P14" s="142">
        <f t="shared" si="7"/>
        <v>7.8206018518518522E-2</v>
      </c>
      <c r="R14" s="143">
        <v>84</v>
      </c>
      <c r="S14" s="144">
        <v>3</v>
      </c>
      <c r="T14" s="138">
        <f t="shared" si="10"/>
        <v>84</v>
      </c>
      <c r="U14" s="145">
        <v>1</v>
      </c>
      <c r="V14" s="146">
        <v>3</v>
      </c>
      <c r="W14" s="138">
        <f t="shared" si="8"/>
        <v>1</v>
      </c>
    </row>
    <row r="15" spans="1:23" s="127" customFormat="1" ht="13.65" customHeight="1" x14ac:dyDescent="0.3">
      <c r="A15" s="45">
        <v>4</v>
      </c>
      <c r="B15" s="47">
        <v>158</v>
      </c>
      <c r="C15" s="121" t="str">
        <f t="shared" si="0"/>
        <v>POL19971016</v>
      </c>
      <c r="D15" s="122" t="str">
        <f t="shared" si="1"/>
        <v>KUKLEWICZ Karol</v>
      </c>
      <c r="E15" s="123" t="str">
        <f t="shared" si="2"/>
        <v>MIX7 - MLKS WIELUŃ</v>
      </c>
      <c r="F15" s="124" t="str">
        <f t="shared" si="3"/>
        <v>LOD009</v>
      </c>
      <c r="G15" s="125" t="str">
        <f t="shared" si="4"/>
        <v xml:space="preserve">JUNIOR </v>
      </c>
      <c r="H15" s="125" t="str">
        <f t="shared" si="5"/>
        <v>RLM</v>
      </c>
      <c r="I15" s="141">
        <v>7.8252314814814816E-2</v>
      </c>
      <c r="J15" s="70">
        <f t="shared" si="6"/>
        <v>0</v>
      </c>
      <c r="K15" s="70">
        <f t="shared" si="9"/>
        <v>0</v>
      </c>
      <c r="M15" s="70"/>
      <c r="N15" s="70"/>
      <c r="O15" s="70"/>
      <c r="P15" s="142">
        <f t="shared" si="7"/>
        <v>7.8252314814814816E-2</v>
      </c>
      <c r="R15" s="143">
        <v>158</v>
      </c>
      <c r="S15" s="144">
        <v>4</v>
      </c>
      <c r="T15" s="138">
        <f t="shared" si="10"/>
        <v>158</v>
      </c>
      <c r="U15" s="145">
        <v>1</v>
      </c>
      <c r="V15" s="146">
        <v>4</v>
      </c>
      <c r="W15" s="138">
        <f t="shared" si="8"/>
        <v>1</v>
      </c>
    </row>
    <row r="16" spans="1:23" s="127" customFormat="1" ht="13.65" customHeight="1" x14ac:dyDescent="0.3">
      <c r="A16" s="45">
        <v>5</v>
      </c>
      <c r="B16" s="47">
        <v>73</v>
      </c>
      <c r="C16" s="121" t="str">
        <f t="shared" si="0"/>
        <v>CZE19991022*</v>
      </c>
      <c r="D16" s="122" t="str">
        <f t="shared" si="1"/>
        <v xml:space="preserve">BABOR Daniel </v>
      </c>
      <c r="E16" s="123" t="str">
        <f t="shared" si="2"/>
        <v xml:space="preserve">MIX2  - TJ KOVO PRAHA </v>
      </c>
      <c r="F16" s="124">
        <f t="shared" si="3"/>
        <v>10972</v>
      </c>
      <c r="G16" s="125" t="str">
        <f t="shared" si="4"/>
        <v>CADET</v>
      </c>
      <c r="H16" s="125" t="str">
        <f t="shared" si="5"/>
        <v>KOV</v>
      </c>
      <c r="I16" s="141">
        <v>7.8252314814814816E-2</v>
      </c>
      <c r="J16" s="70">
        <f t="shared" si="6"/>
        <v>0</v>
      </c>
      <c r="K16" s="70">
        <f t="shared" si="9"/>
        <v>0</v>
      </c>
      <c r="M16" s="70"/>
      <c r="N16" s="70"/>
      <c r="O16" s="70"/>
      <c r="P16" s="142">
        <f t="shared" si="7"/>
        <v>7.8252314814814816E-2</v>
      </c>
      <c r="R16" s="143">
        <v>73</v>
      </c>
      <c r="S16" s="144">
        <v>5</v>
      </c>
      <c r="T16" s="138">
        <f t="shared" si="10"/>
        <v>73</v>
      </c>
      <c r="U16" s="145">
        <v>1</v>
      </c>
      <c r="V16" s="146">
        <v>5</v>
      </c>
      <c r="W16" s="138">
        <f t="shared" si="8"/>
        <v>1</v>
      </c>
    </row>
    <row r="17" spans="1:23" s="127" customFormat="1" ht="13.65" customHeight="1" x14ac:dyDescent="0.3">
      <c r="A17" s="45">
        <v>6</v>
      </c>
      <c r="B17" s="47">
        <v>75</v>
      </c>
      <c r="C17" s="121" t="str">
        <f t="shared" si="0"/>
        <v>CZE19970804</v>
      </c>
      <c r="D17" s="122" t="str">
        <f t="shared" si="1"/>
        <v xml:space="preserve">SPUDIL Martin </v>
      </c>
      <c r="E17" s="123" t="str">
        <f t="shared" si="2"/>
        <v xml:space="preserve">MIX2  - SP KOLO LOAP SPECIALIZED </v>
      </c>
      <c r="F17" s="124">
        <f t="shared" si="3"/>
        <v>10880</v>
      </c>
      <c r="G17" s="125" t="str">
        <f t="shared" si="4"/>
        <v xml:space="preserve">JUNIOR </v>
      </c>
      <c r="H17" s="125" t="str">
        <f t="shared" si="5"/>
        <v>KOV</v>
      </c>
      <c r="I17" s="141">
        <v>7.8252314814814816E-2</v>
      </c>
      <c r="J17" s="70">
        <f t="shared" si="6"/>
        <v>0</v>
      </c>
      <c r="K17" s="70">
        <f t="shared" si="9"/>
        <v>0</v>
      </c>
      <c r="M17" s="70"/>
      <c r="N17" s="70"/>
      <c r="O17" s="70"/>
      <c r="P17" s="142">
        <f t="shared" si="7"/>
        <v>7.8252314814814816E-2</v>
      </c>
      <c r="R17" s="143">
        <v>75</v>
      </c>
      <c r="S17" s="144">
        <v>6</v>
      </c>
      <c r="T17" s="138">
        <f t="shared" si="10"/>
        <v>75</v>
      </c>
      <c r="U17" s="145">
        <v>1</v>
      </c>
      <c r="V17" s="146">
        <v>6</v>
      </c>
      <c r="W17" s="138">
        <f t="shared" si="8"/>
        <v>1</v>
      </c>
    </row>
    <row r="18" spans="1:23" s="127" customFormat="1" ht="13.65" customHeight="1" x14ac:dyDescent="0.3">
      <c r="A18" s="45">
        <v>7</v>
      </c>
      <c r="B18" s="47">
        <v>156</v>
      </c>
      <c r="C18" s="121" t="str">
        <f t="shared" si="0"/>
        <v>AUT19971004</v>
      </c>
      <c r="D18" s="122" t="str">
        <f t="shared" si="1"/>
        <v>GRUBER Julian</v>
      </c>
      <c r="E18" s="123" t="str">
        <f t="shared" si="2"/>
        <v>MIX7 - RLM WIEN (RADLEISTUNGSMODELL WIEN)</v>
      </c>
      <c r="F18" s="124">
        <f t="shared" si="3"/>
        <v>100044</v>
      </c>
      <c r="G18" s="125" t="str">
        <f t="shared" si="4"/>
        <v xml:space="preserve">JUNIOR </v>
      </c>
      <c r="H18" s="125" t="str">
        <f t="shared" si="5"/>
        <v>RLM</v>
      </c>
      <c r="I18" s="141">
        <v>7.8252314814814816E-2</v>
      </c>
      <c r="J18" s="70">
        <f t="shared" si="6"/>
        <v>0</v>
      </c>
      <c r="K18" s="70">
        <f t="shared" si="9"/>
        <v>0</v>
      </c>
      <c r="M18" s="70"/>
      <c r="N18" s="70"/>
      <c r="O18" s="70"/>
      <c r="P18" s="142">
        <f t="shared" si="7"/>
        <v>7.8252314814814816E-2</v>
      </c>
      <c r="R18" s="143">
        <v>156</v>
      </c>
      <c r="S18" s="144">
        <v>7</v>
      </c>
      <c r="T18" s="138">
        <f t="shared" si="10"/>
        <v>156</v>
      </c>
      <c r="U18" s="145">
        <v>1</v>
      </c>
      <c r="V18" s="146">
        <v>7</v>
      </c>
      <c r="W18" s="138">
        <f t="shared" si="8"/>
        <v>1</v>
      </c>
    </row>
    <row r="19" spans="1:23" s="127" customFormat="1" ht="13.65" customHeight="1" x14ac:dyDescent="0.3">
      <c r="A19" s="45">
        <v>8</v>
      </c>
      <c r="B19" s="47">
        <v>81</v>
      </c>
      <c r="C19" s="121" t="str">
        <f t="shared" si="0"/>
        <v>*GER19980505</v>
      </c>
      <c r="D19" s="122" t="str">
        <f t="shared" si="1"/>
        <v>HAUPT Tarik</v>
      </c>
      <c r="E19" s="123" t="str">
        <f t="shared" si="2"/>
        <v>GERMAN NATIONAL TEAM</v>
      </c>
      <c r="F19" s="124" t="str">
        <f t="shared" si="3"/>
        <v>BER032308</v>
      </c>
      <c r="G19" s="125" t="str">
        <f t="shared" si="4"/>
        <v>JUNIOR *</v>
      </c>
      <c r="H19" s="125" t="str">
        <f t="shared" si="5"/>
        <v>GER</v>
      </c>
      <c r="I19" s="141">
        <v>7.8252314814814816E-2</v>
      </c>
      <c r="J19" s="70">
        <f t="shared" si="6"/>
        <v>0</v>
      </c>
      <c r="K19" s="70">
        <f t="shared" si="9"/>
        <v>0</v>
      </c>
      <c r="M19" s="70"/>
      <c r="N19" s="70"/>
      <c r="O19" s="70"/>
      <c r="P19" s="142">
        <f t="shared" si="7"/>
        <v>7.8252314814814816E-2</v>
      </c>
      <c r="R19" s="143">
        <v>81</v>
      </c>
      <c r="S19" s="144">
        <v>8</v>
      </c>
      <c r="T19" s="138">
        <f t="shared" si="10"/>
        <v>81</v>
      </c>
      <c r="U19" s="145">
        <v>1</v>
      </c>
      <c r="V19" s="146">
        <v>8</v>
      </c>
      <c r="W19" s="138">
        <f t="shared" si="8"/>
        <v>1</v>
      </c>
    </row>
    <row r="20" spans="1:23" s="127" customFormat="1" ht="13.65" customHeight="1" x14ac:dyDescent="0.3">
      <c r="A20" s="45">
        <v>9</v>
      </c>
      <c r="B20" s="47">
        <v>136</v>
      </c>
      <c r="C20" s="121" t="str">
        <f t="shared" si="0"/>
        <v>*SVK19980617</v>
      </c>
      <c r="D20" s="122" t="str">
        <f t="shared" si="1"/>
        <v>KLÁTIK David</v>
      </c>
      <c r="E20" s="123" t="str">
        <f t="shared" si="2"/>
        <v>MIX5 - TJ SLAVIA SG TRENČÍN</v>
      </c>
      <c r="F20" s="124" t="str">
        <f t="shared" si="3"/>
        <v>S 6351</v>
      </c>
      <c r="G20" s="125" t="str">
        <f t="shared" si="4"/>
        <v>JUNIOR *</v>
      </c>
      <c r="H20" s="125" t="str">
        <f t="shared" si="5"/>
        <v>SGT</v>
      </c>
      <c r="I20" s="141">
        <v>7.8252314814814816E-2</v>
      </c>
      <c r="J20" s="70">
        <f t="shared" si="6"/>
        <v>0</v>
      </c>
      <c r="K20" s="70">
        <f t="shared" si="9"/>
        <v>0</v>
      </c>
      <c r="M20" s="70"/>
      <c r="N20" s="70"/>
      <c r="O20" s="70"/>
      <c r="P20" s="142">
        <f t="shared" si="7"/>
        <v>7.8252314814814816E-2</v>
      </c>
      <c r="R20" s="143">
        <v>136</v>
      </c>
      <c r="S20" s="144">
        <v>9</v>
      </c>
      <c r="T20" s="138">
        <f t="shared" si="10"/>
        <v>136</v>
      </c>
      <c r="U20" s="145">
        <v>1</v>
      </c>
      <c r="V20" s="146">
        <v>11</v>
      </c>
      <c r="W20" s="138">
        <f t="shared" si="8"/>
        <v>1</v>
      </c>
    </row>
    <row r="21" spans="1:23" s="127" customFormat="1" ht="13.65" customHeight="1" x14ac:dyDescent="0.3">
      <c r="A21" s="45">
        <v>10</v>
      </c>
      <c r="B21" s="47">
        <v>43</v>
      </c>
      <c r="C21" s="121" t="str">
        <f t="shared" si="0"/>
        <v>*CZE19981115</v>
      </c>
      <c r="D21" s="122" t="str">
        <f t="shared" si="1"/>
        <v xml:space="preserve">KOČAŘÍK Václav </v>
      </c>
      <c r="E21" s="123" t="str">
        <f t="shared" si="2"/>
        <v xml:space="preserve">SKC TUFO PROSTĚJOV </v>
      </c>
      <c r="F21" s="124">
        <f t="shared" si="3"/>
        <v>9513</v>
      </c>
      <c r="G21" s="125" t="str">
        <f t="shared" si="4"/>
        <v>JUNIOR *</v>
      </c>
      <c r="H21" s="125" t="str">
        <f t="shared" si="5"/>
        <v>STP</v>
      </c>
      <c r="I21" s="141">
        <v>7.8252314814814816E-2</v>
      </c>
      <c r="J21" s="70">
        <f t="shared" si="6"/>
        <v>0</v>
      </c>
      <c r="K21" s="70">
        <f t="shared" si="9"/>
        <v>0</v>
      </c>
      <c r="M21" s="70"/>
      <c r="N21" s="70"/>
      <c r="O21" s="70"/>
      <c r="P21" s="142">
        <f t="shared" si="7"/>
        <v>7.8252314814814816E-2</v>
      </c>
      <c r="R21" s="143">
        <v>43</v>
      </c>
      <c r="S21" s="144">
        <v>10</v>
      </c>
      <c r="T21" s="138">
        <f t="shared" si="10"/>
        <v>43</v>
      </c>
      <c r="U21" s="145">
        <v>1</v>
      </c>
      <c r="V21" s="146">
        <v>12</v>
      </c>
      <c r="W21" s="138">
        <f t="shared" si="8"/>
        <v>1</v>
      </c>
    </row>
    <row r="22" spans="1:23" s="127" customFormat="1" ht="13.65" customHeight="1" x14ac:dyDescent="0.3">
      <c r="A22" s="45">
        <v>11</v>
      </c>
      <c r="B22" s="47">
        <v>114</v>
      </c>
      <c r="C22" s="121" t="str">
        <f t="shared" si="0"/>
        <v>CZE19991205*</v>
      </c>
      <c r="D22" s="122" t="str">
        <f t="shared" si="1"/>
        <v xml:space="preserve">SYROVÁTKA Matěj </v>
      </c>
      <c r="E22" s="123" t="str">
        <f t="shared" si="2"/>
        <v xml:space="preserve">MIX3 - ČEZ CYKLO TEAM TÁBOR </v>
      </c>
      <c r="F22" s="124">
        <f t="shared" si="3"/>
        <v>19867</v>
      </c>
      <c r="G22" s="125" t="str">
        <f t="shared" si="4"/>
        <v>CADET</v>
      </c>
      <c r="H22" s="125" t="str">
        <f t="shared" si="5"/>
        <v>CPP</v>
      </c>
      <c r="I22" s="141">
        <v>7.8252314814814816E-2</v>
      </c>
      <c r="J22" s="70">
        <f t="shared" si="6"/>
        <v>0</v>
      </c>
      <c r="K22" s="70">
        <f t="shared" si="9"/>
        <v>0</v>
      </c>
      <c r="M22" s="70"/>
      <c r="N22" s="70"/>
      <c r="O22" s="70"/>
      <c r="P22" s="142">
        <f t="shared" si="7"/>
        <v>7.8252314814814816E-2</v>
      </c>
      <c r="R22" s="143">
        <v>114</v>
      </c>
      <c r="S22" s="144">
        <v>11</v>
      </c>
      <c r="T22" s="138">
        <f t="shared" si="10"/>
        <v>114</v>
      </c>
      <c r="U22" s="145">
        <v>1</v>
      </c>
      <c r="V22" s="146">
        <v>13</v>
      </c>
      <c r="W22" s="138">
        <f t="shared" si="8"/>
        <v>1</v>
      </c>
    </row>
    <row r="23" spans="1:23" s="127" customFormat="1" ht="13.65" customHeight="1" x14ac:dyDescent="0.3">
      <c r="A23" s="45">
        <v>12</v>
      </c>
      <c r="B23" s="47">
        <v>11</v>
      </c>
      <c r="C23" s="121" t="str">
        <f t="shared" si="0"/>
        <v>GER19970217</v>
      </c>
      <c r="D23" s="122" t="str">
        <f t="shared" si="1"/>
        <v>SCHMIEDEL Sebastian</v>
      </c>
      <c r="E23" s="123" t="str">
        <f t="shared" si="2"/>
        <v>THÜRINGER RADSPORT VERBAND</v>
      </c>
      <c r="F23" s="124" t="str">
        <f t="shared" si="3"/>
        <v>THÜ134870</v>
      </c>
      <c r="G23" s="125" t="str">
        <f t="shared" si="4"/>
        <v xml:space="preserve">JUNIOR </v>
      </c>
      <c r="H23" s="125" t="str">
        <f t="shared" si="5"/>
        <v>THU</v>
      </c>
      <c r="I23" s="141">
        <v>7.8252314814814816E-2</v>
      </c>
      <c r="J23" s="70">
        <f t="shared" si="6"/>
        <v>0</v>
      </c>
      <c r="K23" s="70">
        <f t="shared" si="9"/>
        <v>0</v>
      </c>
      <c r="M23" s="70"/>
      <c r="N23" s="70"/>
      <c r="O23" s="70"/>
      <c r="P23" s="142">
        <f t="shared" si="7"/>
        <v>7.8252314814814816E-2</v>
      </c>
      <c r="R23" s="143">
        <v>11</v>
      </c>
      <c r="S23" s="144">
        <v>12</v>
      </c>
      <c r="T23" s="138">
        <f t="shared" si="10"/>
        <v>11</v>
      </c>
      <c r="U23" s="145">
        <v>1</v>
      </c>
      <c r="V23" s="146">
        <v>14</v>
      </c>
      <c r="W23" s="138">
        <f t="shared" si="8"/>
        <v>1</v>
      </c>
    </row>
    <row r="24" spans="1:23" s="127" customFormat="1" ht="13.65" customHeight="1" x14ac:dyDescent="0.3">
      <c r="A24" s="45">
        <v>13</v>
      </c>
      <c r="B24" s="47">
        <v>95</v>
      </c>
      <c r="C24" s="121" t="str">
        <f t="shared" si="0"/>
        <v>*GER19981026</v>
      </c>
      <c r="D24" s="122" t="str">
        <f t="shared" si="1"/>
        <v>KUNERT Pepe</v>
      </c>
      <c r="E24" s="123" t="str">
        <f t="shared" si="2"/>
        <v>RG BERLIN</v>
      </c>
      <c r="F24" s="124" t="str">
        <f t="shared" si="3"/>
        <v>BER032402</v>
      </c>
      <c r="G24" s="125" t="str">
        <f t="shared" si="4"/>
        <v>JUNIOR *</v>
      </c>
      <c r="H24" s="125" t="str">
        <f t="shared" si="5"/>
        <v>RGB</v>
      </c>
      <c r="I24" s="141">
        <v>7.8252314814814816E-2</v>
      </c>
      <c r="J24" s="70">
        <f t="shared" si="6"/>
        <v>0</v>
      </c>
      <c r="K24" s="70">
        <f t="shared" si="9"/>
        <v>0</v>
      </c>
      <c r="M24" s="70"/>
      <c r="N24" s="70"/>
      <c r="O24" s="70"/>
      <c r="P24" s="142">
        <f t="shared" si="7"/>
        <v>7.8252314814814816E-2</v>
      </c>
      <c r="R24" s="143">
        <v>95</v>
      </c>
      <c r="S24" s="144">
        <v>13</v>
      </c>
      <c r="T24" s="138">
        <f t="shared" si="10"/>
        <v>95</v>
      </c>
      <c r="U24" s="145">
        <v>1</v>
      </c>
      <c r="V24" s="146">
        <v>15</v>
      </c>
      <c r="W24" s="138">
        <f t="shared" si="8"/>
        <v>1</v>
      </c>
    </row>
    <row r="25" spans="1:23" s="127" customFormat="1" ht="13.65" customHeight="1" x14ac:dyDescent="0.3">
      <c r="A25" s="45">
        <v>14</v>
      </c>
      <c r="B25" s="47">
        <v>112</v>
      </c>
      <c r="C25" s="121" t="str">
        <f t="shared" si="0"/>
        <v>*CZE19980616</v>
      </c>
      <c r="D25" s="122" t="str">
        <f t="shared" si="1"/>
        <v xml:space="preserve">DRDEK Dominik </v>
      </c>
      <c r="E25" s="123" t="str">
        <f t="shared" si="2"/>
        <v xml:space="preserve">MIX3 - ČEZ CYKLO TEAM TÁBOR </v>
      </c>
      <c r="F25" s="124">
        <f t="shared" si="3"/>
        <v>8397</v>
      </c>
      <c r="G25" s="125" t="str">
        <f t="shared" si="4"/>
        <v>JUNIOR *</v>
      </c>
      <c r="H25" s="125" t="str">
        <f t="shared" si="5"/>
        <v>CPP</v>
      </c>
      <c r="I25" s="141">
        <v>7.8252314814814816E-2</v>
      </c>
      <c r="J25" s="70">
        <f t="shared" si="6"/>
        <v>0</v>
      </c>
      <c r="K25" s="70">
        <f t="shared" si="9"/>
        <v>0</v>
      </c>
      <c r="M25" s="70"/>
      <c r="N25" s="70"/>
      <c r="O25" s="70"/>
      <c r="P25" s="142">
        <f t="shared" si="7"/>
        <v>7.8252314814814816E-2</v>
      </c>
      <c r="R25" s="143">
        <v>112</v>
      </c>
      <c r="S25" s="144">
        <v>14</v>
      </c>
      <c r="T25" s="138">
        <f t="shared" si="10"/>
        <v>112</v>
      </c>
      <c r="U25" s="145">
        <v>1</v>
      </c>
      <c r="V25" s="146">
        <v>16</v>
      </c>
      <c r="W25" s="138">
        <f t="shared" si="8"/>
        <v>1</v>
      </c>
    </row>
    <row r="26" spans="1:23" s="127" customFormat="1" ht="13.65" customHeight="1" x14ac:dyDescent="0.3">
      <c r="A26" s="45">
        <v>15</v>
      </c>
      <c r="B26" s="47">
        <v>101</v>
      </c>
      <c r="C26" s="121" t="str">
        <f t="shared" si="0"/>
        <v>SVK19971212</v>
      </c>
      <c r="D26" s="122" t="str">
        <f t="shared" si="1"/>
        <v>KOVÁČIK Vladimír</v>
      </c>
      <c r="E26" s="123" t="str">
        <f t="shared" si="2"/>
        <v>SLOVAK CYCLING FEDERATION</v>
      </c>
      <c r="F26" s="124" t="str">
        <f t="shared" si="3"/>
        <v>S 5733</v>
      </c>
      <c r="G26" s="125" t="str">
        <f t="shared" si="4"/>
        <v xml:space="preserve">JUNIOR </v>
      </c>
      <c r="H26" s="125" t="str">
        <f t="shared" si="5"/>
        <v>SVK</v>
      </c>
      <c r="I26" s="141">
        <v>7.8252314814814816E-2</v>
      </c>
      <c r="J26" s="70">
        <f t="shared" si="6"/>
        <v>0</v>
      </c>
      <c r="K26" s="70">
        <f t="shared" si="9"/>
        <v>0</v>
      </c>
      <c r="M26" s="70"/>
      <c r="N26" s="70"/>
      <c r="O26" s="70"/>
      <c r="P26" s="142">
        <f t="shared" si="7"/>
        <v>7.8252314814814816E-2</v>
      </c>
      <c r="R26" s="143">
        <v>101</v>
      </c>
      <c r="S26" s="144">
        <v>15</v>
      </c>
      <c r="T26" s="138">
        <f t="shared" si="10"/>
        <v>101</v>
      </c>
      <c r="U26" s="145">
        <v>1</v>
      </c>
      <c r="V26" s="146">
        <v>17</v>
      </c>
      <c r="W26" s="138">
        <f t="shared" si="8"/>
        <v>1</v>
      </c>
    </row>
    <row r="27" spans="1:23" s="127" customFormat="1" ht="13.65" customHeight="1" x14ac:dyDescent="0.3">
      <c r="A27" s="45">
        <v>16</v>
      </c>
      <c r="B27" s="47">
        <v>53</v>
      </c>
      <c r="C27" s="121" t="str">
        <f t="shared" si="0"/>
        <v>CZE20001009*</v>
      </c>
      <c r="D27" s="122" t="str">
        <f t="shared" si="1"/>
        <v>MIKŠANÍK Vladimír</v>
      </c>
      <c r="E27" s="123" t="str">
        <f t="shared" si="2"/>
        <v>MIX1 - ACK STARÁ VES NAD ONDŘEJNICÍ</v>
      </c>
      <c r="F27" s="124">
        <f t="shared" si="3"/>
        <v>15169</v>
      </c>
      <c r="G27" s="125" t="str">
        <f t="shared" si="4"/>
        <v>CADET</v>
      </c>
      <c r="H27" s="125" t="str">
        <f t="shared" si="5"/>
        <v>SLZ</v>
      </c>
      <c r="I27" s="141">
        <v>7.8252314814814816E-2</v>
      </c>
      <c r="J27" s="70">
        <f t="shared" si="6"/>
        <v>0</v>
      </c>
      <c r="K27" s="70">
        <f t="shared" si="9"/>
        <v>0</v>
      </c>
      <c r="M27" s="70"/>
      <c r="N27" s="70"/>
      <c r="O27" s="70"/>
      <c r="P27" s="142">
        <f t="shared" si="7"/>
        <v>7.8252314814814816E-2</v>
      </c>
      <c r="R27" s="143">
        <v>53</v>
      </c>
      <c r="S27" s="144">
        <v>16</v>
      </c>
      <c r="T27" s="138">
        <f t="shared" si="10"/>
        <v>53</v>
      </c>
      <c r="U27" s="145">
        <v>1</v>
      </c>
      <c r="V27" s="146">
        <v>18</v>
      </c>
      <c r="W27" s="138">
        <f t="shared" si="8"/>
        <v>1</v>
      </c>
    </row>
    <row r="28" spans="1:23" s="127" customFormat="1" ht="13.65" customHeight="1" x14ac:dyDescent="0.3">
      <c r="A28" s="45">
        <v>17</v>
      </c>
      <c r="B28" s="47">
        <v>163</v>
      </c>
      <c r="C28" s="121" t="str">
        <f t="shared" si="0"/>
        <v>*AUT19980813</v>
      </c>
      <c r="D28" s="122" t="str">
        <f t="shared" si="1"/>
        <v>IRENDORFER Moritz</v>
      </c>
      <c r="E28" s="123" t="str">
        <f t="shared" si="2"/>
        <v>LRV STEIERMARK</v>
      </c>
      <c r="F28" s="124">
        <f t="shared" si="3"/>
        <v>100291</v>
      </c>
      <c r="G28" s="125" t="str">
        <f t="shared" si="4"/>
        <v>JUNIOR *</v>
      </c>
      <c r="H28" s="125" t="str">
        <f t="shared" si="5"/>
        <v>LRS</v>
      </c>
      <c r="I28" s="141">
        <v>7.8252314814814816E-2</v>
      </c>
      <c r="J28" s="70">
        <f t="shared" si="6"/>
        <v>0</v>
      </c>
      <c r="K28" s="70">
        <f t="shared" si="9"/>
        <v>0</v>
      </c>
      <c r="M28" s="70"/>
      <c r="N28" s="70"/>
      <c r="O28" s="70"/>
      <c r="P28" s="142">
        <f t="shared" si="7"/>
        <v>7.8252314814814816E-2</v>
      </c>
      <c r="R28" s="143">
        <v>163</v>
      </c>
      <c r="S28" s="144">
        <v>17</v>
      </c>
      <c r="T28" s="138">
        <f t="shared" si="10"/>
        <v>163</v>
      </c>
      <c r="U28" s="145">
        <v>1</v>
      </c>
      <c r="V28" s="146">
        <v>19</v>
      </c>
      <c r="W28" s="138">
        <f t="shared" si="8"/>
        <v>1</v>
      </c>
    </row>
    <row r="29" spans="1:23" s="127" customFormat="1" ht="13.65" customHeight="1" x14ac:dyDescent="0.3">
      <c r="A29" s="45">
        <v>18</v>
      </c>
      <c r="B29" s="47">
        <v>63</v>
      </c>
      <c r="C29" s="121" t="str">
        <f t="shared" si="0"/>
        <v>*BEL19980926</v>
      </c>
      <c r="D29" s="122" t="str">
        <f t="shared" si="1"/>
        <v>HUYGEN Wout</v>
      </c>
      <c r="E29" s="123" t="str">
        <f t="shared" si="2"/>
        <v>WAC TEAM HOBOKEN</v>
      </c>
      <c r="F29" s="124">
        <f t="shared" si="3"/>
        <v>57574</v>
      </c>
      <c r="G29" s="125" t="str">
        <f t="shared" si="4"/>
        <v>JUNIOR *</v>
      </c>
      <c r="H29" s="125" t="str">
        <f t="shared" si="5"/>
        <v>WAC</v>
      </c>
      <c r="I29" s="141">
        <v>7.8252314814814816E-2</v>
      </c>
      <c r="J29" s="70">
        <f t="shared" si="6"/>
        <v>0</v>
      </c>
      <c r="K29" s="70">
        <f t="shared" si="9"/>
        <v>0</v>
      </c>
      <c r="M29" s="70"/>
      <c r="N29" s="70"/>
      <c r="O29" s="70"/>
      <c r="P29" s="142">
        <f t="shared" si="7"/>
        <v>7.8252314814814816E-2</v>
      </c>
      <c r="R29" s="143">
        <v>63</v>
      </c>
      <c r="S29" s="144">
        <v>18</v>
      </c>
      <c r="T29" s="138">
        <f t="shared" si="10"/>
        <v>63</v>
      </c>
      <c r="U29" s="145">
        <v>1</v>
      </c>
      <c r="V29" s="146">
        <v>20</v>
      </c>
      <c r="W29" s="138">
        <f t="shared" si="8"/>
        <v>1</v>
      </c>
    </row>
    <row r="30" spans="1:23" s="127" customFormat="1" ht="13.65" customHeight="1" x14ac:dyDescent="0.3">
      <c r="A30" s="45">
        <v>19</v>
      </c>
      <c r="B30" s="47">
        <v>83</v>
      </c>
      <c r="C30" s="121" t="str">
        <f t="shared" si="0"/>
        <v>*GER19980312</v>
      </c>
      <c r="D30" s="122" t="str">
        <f t="shared" si="1"/>
        <v>MÖBIS Maximilian</v>
      </c>
      <c r="E30" s="123" t="str">
        <f t="shared" si="2"/>
        <v>GERMAN NATIONAL TEAM</v>
      </c>
      <c r="F30" s="124" t="str">
        <f t="shared" si="3"/>
        <v>BER032252</v>
      </c>
      <c r="G30" s="125" t="str">
        <f t="shared" si="4"/>
        <v>JUNIOR *</v>
      </c>
      <c r="H30" s="125" t="str">
        <f t="shared" si="5"/>
        <v>GER</v>
      </c>
      <c r="I30" s="141">
        <v>7.8252314814814816E-2</v>
      </c>
      <c r="J30" s="70">
        <f t="shared" si="6"/>
        <v>0</v>
      </c>
      <c r="K30" s="70">
        <f t="shared" si="9"/>
        <v>0</v>
      </c>
      <c r="M30" s="70"/>
      <c r="N30" s="70"/>
      <c r="O30" s="70"/>
      <c r="P30" s="142">
        <f t="shared" si="7"/>
        <v>7.8252314814814816E-2</v>
      </c>
      <c r="R30" s="143">
        <v>83</v>
      </c>
      <c r="S30" s="144">
        <v>19</v>
      </c>
      <c r="T30" s="138">
        <f t="shared" si="10"/>
        <v>83</v>
      </c>
      <c r="U30" s="145">
        <v>1</v>
      </c>
      <c r="V30" s="146">
        <v>21</v>
      </c>
      <c r="W30" s="138">
        <f t="shared" si="8"/>
        <v>1</v>
      </c>
    </row>
    <row r="31" spans="1:23" s="127" customFormat="1" ht="13.65" customHeight="1" x14ac:dyDescent="0.3">
      <c r="A31" s="45">
        <v>20</v>
      </c>
      <c r="B31" s="47">
        <v>102</v>
      </c>
      <c r="C31" s="121" t="str">
        <f t="shared" si="0"/>
        <v>SVK19970522</v>
      </c>
      <c r="D31" s="122" t="str">
        <f t="shared" si="1"/>
        <v>KVIETOK Pavol</v>
      </c>
      <c r="E31" s="123" t="str">
        <f t="shared" si="2"/>
        <v>SLOVAK CYCLING FEDERATION</v>
      </c>
      <c r="F31" s="124" t="str">
        <f t="shared" si="3"/>
        <v>S 4591</v>
      </c>
      <c r="G31" s="125" t="str">
        <f t="shared" si="4"/>
        <v xml:space="preserve">JUNIOR </v>
      </c>
      <c r="H31" s="125" t="str">
        <f t="shared" si="5"/>
        <v>SVK</v>
      </c>
      <c r="I31" s="141">
        <v>7.8252314814814816E-2</v>
      </c>
      <c r="J31" s="70">
        <f t="shared" si="6"/>
        <v>0</v>
      </c>
      <c r="K31" s="70">
        <f t="shared" si="9"/>
        <v>0</v>
      </c>
      <c r="M31" s="70"/>
      <c r="N31" s="70"/>
      <c r="O31" s="70"/>
      <c r="P31" s="142">
        <f t="shared" si="7"/>
        <v>7.8252314814814816E-2</v>
      </c>
      <c r="R31" s="143">
        <v>102</v>
      </c>
      <c r="S31" s="144">
        <v>20</v>
      </c>
      <c r="T31" s="138">
        <f t="shared" si="10"/>
        <v>102</v>
      </c>
      <c r="U31" s="145">
        <v>1</v>
      </c>
      <c r="V31" s="146">
        <v>22</v>
      </c>
      <c r="W31" s="138">
        <f t="shared" si="8"/>
        <v>1</v>
      </c>
    </row>
    <row r="32" spans="1:23" s="127" customFormat="1" ht="13.65" customHeight="1" x14ac:dyDescent="0.3">
      <c r="A32" s="45">
        <v>21</v>
      </c>
      <c r="B32" s="47">
        <v>86</v>
      </c>
      <c r="C32" s="121" t="str">
        <f t="shared" si="0"/>
        <v>*GER19980223</v>
      </c>
      <c r="D32" s="122" t="str">
        <f t="shared" si="1"/>
        <v>PLAMBECK Philipp</v>
      </c>
      <c r="E32" s="123" t="str">
        <f t="shared" si="2"/>
        <v>GERMAN NATIONAL TEAM</v>
      </c>
      <c r="F32" s="124" t="str">
        <f t="shared" si="3"/>
        <v>HAM062726</v>
      </c>
      <c r="G32" s="125" t="str">
        <f t="shared" si="4"/>
        <v>JUNIOR *</v>
      </c>
      <c r="H32" s="125" t="str">
        <f t="shared" si="5"/>
        <v>GER</v>
      </c>
      <c r="I32" s="141">
        <v>7.8252314814814816E-2</v>
      </c>
      <c r="J32" s="70">
        <f t="shared" si="6"/>
        <v>0</v>
      </c>
      <c r="K32" s="70">
        <f t="shared" si="9"/>
        <v>0</v>
      </c>
      <c r="M32" s="70"/>
      <c r="N32" s="70"/>
      <c r="O32" s="70"/>
      <c r="P32" s="142">
        <f t="shared" si="7"/>
        <v>7.8252314814814816E-2</v>
      </c>
      <c r="R32" s="143">
        <v>86</v>
      </c>
      <c r="S32" s="144">
        <v>21</v>
      </c>
      <c r="T32" s="138">
        <f t="shared" si="10"/>
        <v>86</v>
      </c>
      <c r="U32" s="145">
        <v>1</v>
      </c>
      <c r="V32" s="146">
        <v>23</v>
      </c>
      <c r="W32" s="138">
        <f t="shared" si="8"/>
        <v>1</v>
      </c>
    </row>
    <row r="33" spans="1:23" s="127" customFormat="1" ht="13.65" customHeight="1" x14ac:dyDescent="0.3">
      <c r="A33" s="45">
        <v>22</v>
      </c>
      <c r="B33" s="47">
        <v>54</v>
      </c>
      <c r="C33" s="121" t="str">
        <f t="shared" si="0"/>
        <v>*CZE19980726</v>
      </c>
      <c r="D33" s="122" t="str">
        <f t="shared" si="1"/>
        <v>POKORNÝ Petr</v>
      </c>
      <c r="E33" s="123" t="str">
        <f t="shared" si="2"/>
        <v>MIX1 - ACK STARÁ VES NAD ONDŘEJNICÍ</v>
      </c>
      <c r="F33" s="124">
        <f t="shared" si="3"/>
        <v>9870</v>
      </c>
      <c r="G33" s="125" t="str">
        <f t="shared" si="4"/>
        <v>JUNIOR *</v>
      </c>
      <c r="H33" s="125" t="str">
        <f t="shared" si="5"/>
        <v>SLZ</v>
      </c>
      <c r="I33" s="141">
        <v>7.8252314814814816E-2</v>
      </c>
      <c r="J33" s="70">
        <f t="shared" si="6"/>
        <v>0</v>
      </c>
      <c r="K33" s="70">
        <f t="shared" si="9"/>
        <v>0</v>
      </c>
      <c r="M33" s="70"/>
      <c r="N33" s="70"/>
      <c r="O33" s="70"/>
      <c r="P33" s="142">
        <f t="shared" si="7"/>
        <v>7.8252314814814816E-2</v>
      </c>
      <c r="R33" s="143">
        <v>54</v>
      </c>
      <c r="S33" s="144">
        <v>22</v>
      </c>
      <c r="T33" s="138">
        <f t="shared" si="10"/>
        <v>54</v>
      </c>
      <c r="U33" s="145">
        <v>1</v>
      </c>
      <c r="V33" s="146">
        <v>24</v>
      </c>
      <c r="W33" s="138">
        <f t="shared" si="8"/>
        <v>0</v>
      </c>
    </row>
    <row r="34" spans="1:23" s="127" customFormat="1" ht="13.65" customHeight="1" x14ac:dyDescent="0.3">
      <c r="A34" s="45">
        <v>23</v>
      </c>
      <c r="B34" s="47">
        <v>58</v>
      </c>
      <c r="C34" s="121" t="str">
        <f t="shared" si="0"/>
        <v>POL19990111*</v>
      </c>
      <c r="D34" s="122" t="str">
        <f t="shared" si="1"/>
        <v xml:space="preserve">MIGAS Dawid </v>
      </c>
      <c r="E34" s="123" t="str">
        <f t="shared" si="2"/>
        <v xml:space="preserve">MIX1 - GRUPA KOLARSKA GLIWICE </v>
      </c>
      <c r="F34" s="124" t="str">
        <f t="shared" si="3"/>
        <v>SLA284</v>
      </c>
      <c r="G34" s="125" t="str">
        <f t="shared" si="4"/>
        <v>CADET</v>
      </c>
      <c r="H34" s="125" t="str">
        <f t="shared" si="5"/>
        <v>SLZ</v>
      </c>
      <c r="I34" s="141">
        <v>7.8252314814814816E-2</v>
      </c>
      <c r="J34" s="70">
        <f t="shared" si="6"/>
        <v>0</v>
      </c>
      <c r="K34" s="70">
        <f t="shared" si="9"/>
        <v>0</v>
      </c>
      <c r="M34" s="70"/>
      <c r="N34" s="70"/>
      <c r="O34" s="70"/>
      <c r="P34" s="142">
        <f t="shared" si="7"/>
        <v>7.8252314814814816E-2</v>
      </c>
      <c r="R34" s="143">
        <v>58</v>
      </c>
      <c r="S34" s="144">
        <v>23</v>
      </c>
      <c r="T34" s="138">
        <f t="shared" si="10"/>
        <v>58</v>
      </c>
      <c r="U34" s="145">
        <v>1</v>
      </c>
      <c r="V34" s="146">
        <v>25</v>
      </c>
      <c r="W34" s="138">
        <f t="shared" si="8"/>
        <v>0</v>
      </c>
    </row>
    <row r="35" spans="1:23" s="127" customFormat="1" ht="13.65" customHeight="1" x14ac:dyDescent="0.3">
      <c r="A35" s="45">
        <v>24</v>
      </c>
      <c r="B35" s="47">
        <v>68</v>
      </c>
      <c r="C35" s="121" t="str">
        <f t="shared" si="0"/>
        <v>*BEL19980331</v>
      </c>
      <c r="D35" s="122" t="str">
        <f t="shared" si="1"/>
        <v>VAN STEENSEL Mats</v>
      </c>
      <c r="E35" s="123" t="str">
        <f t="shared" si="2"/>
        <v>WAC TEAM HOBOKEN</v>
      </c>
      <c r="F35" s="124">
        <f t="shared" si="3"/>
        <v>51298</v>
      </c>
      <c r="G35" s="125" t="str">
        <f t="shared" si="4"/>
        <v>JUNIOR *</v>
      </c>
      <c r="H35" s="125" t="str">
        <f t="shared" si="5"/>
        <v>WAC</v>
      </c>
      <c r="I35" s="141">
        <v>7.8252314814814816E-2</v>
      </c>
      <c r="J35" s="70">
        <f t="shared" si="6"/>
        <v>0</v>
      </c>
      <c r="K35" s="70">
        <f t="shared" si="9"/>
        <v>0</v>
      </c>
      <c r="M35" s="70"/>
      <c r="N35" s="70"/>
      <c r="O35" s="70"/>
      <c r="P35" s="142">
        <f t="shared" si="7"/>
        <v>7.8252314814814816E-2</v>
      </c>
      <c r="R35" s="143">
        <v>68</v>
      </c>
      <c r="S35" s="144">
        <v>24</v>
      </c>
      <c r="T35" s="138">
        <f t="shared" si="10"/>
        <v>68</v>
      </c>
      <c r="U35" s="145">
        <v>1</v>
      </c>
      <c r="V35" s="146">
        <v>26</v>
      </c>
      <c r="W35" s="138">
        <f t="shared" si="8"/>
        <v>0</v>
      </c>
    </row>
    <row r="36" spans="1:23" s="127" customFormat="1" ht="13.65" customHeight="1" x14ac:dyDescent="0.3">
      <c r="A36" s="45">
        <v>25</v>
      </c>
      <c r="B36" s="47">
        <v>31</v>
      </c>
      <c r="C36" s="121" t="str">
        <f t="shared" si="0"/>
        <v>GER19970806</v>
      </c>
      <c r="D36" s="122" t="str">
        <f t="shared" si="1"/>
        <v>BINAY Noah</v>
      </c>
      <c r="E36" s="123" t="str">
        <f t="shared" si="2"/>
        <v>JUNIOREN SCHWALBE TEAM SACHSEN</v>
      </c>
      <c r="F36" s="124" t="str">
        <f t="shared" si="3"/>
        <v>SAC142218</v>
      </c>
      <c r="G36" s="125" t="str">
        <f t="shared" si="4"/>
        <v xml:space="preserve">JUNIOR </v>
      </c>
      <c r="H36" s="125" t="str">
        <f t="shared" si="5"/>
        <v>SAC</v>
      </c>
      <c r="I36" s="141">
        <v>7.8252314814814816E-2</v>
      </c>
      <c r="J36" s="70">
        <f t="shared" si="6"/>
        <v>0</v>
      </c>
      <c r="K36" s="70">
        <f t="shared" si="9"/>
        <v>0</v>
      </c>
      <c r="M36" s="70"/>
      <c r="N36" s="70"/>
      <c r="O36" s="70"/>
      <c r="P36" s="142">
        <f t="shared" si="7"/>
        <v>7.8252314814814816E-2</v>
      </c>
      <c r="R36" s="143">
        <v>31</v>
      </c>
      <c r="S36" s="144">
        <v>25</v>
      </c>
      <c r="T36" s="138">
        <f t="shared" si="10"/>
        <v>31</v>
      </c>
      <c r="U36" s="145">
        <v>1</v>
      </c>
      <c r="V36" s="146">
        <v>27</v>
      </c>
      <c r="W36" s="138">
        <f t="shared" si="8"/>
        <v>1</v>
      </c>
    </row>
    <row r="37" spans="1:23" s="127" customFormat="1" ht="13.65" customHeight="1" x14ac:dyDescent="0.3">
      <c r="A37" s="45">
        <v>26</v>
      </c>
      <c r="B37" s="47">
        <v>118</v>
      </c>
      <c r="C37" s="121" t="str">
        <f t="shared" si="0"/>
        <v>CZE19970110</v>
      </c>
      <c r="D37" s="122" t="str">
        <f t="shared" si="1"/>
        <v xml:space="preserve">KŘIKAVA Jakub </v>
      </c>
      <c r="E37" s="123" t="str">
        <f t="shared" si="2"/>
        <v xml:space="preserve">MIX3 - TJ ZČE CYKLISTIKA PLZEŇ </v>
      </c>
      <c r="F37" s="124">
        <f t="shared" si="3"/>
        <v>9167</v>
      </c>
      <c r="G37" s="125" t="str">
        <f t="shared" si="4"/>
        <v xml:space="preserve">JUNIOR </v>
      </c>
      <c r="H37" s="125" t="str">
        <f t="shared" si="5"/>
        <v>CPP</v>
      </c>
      <c r="I37" s="141">
        <v>7.8252314814814816E-2</v>
      </c>
      <c r="J37" s="70">
        <f t="shared" si="6"/>
        <v>0</v>
      </c>
      <c r="K37" s="70">
        <f t="shared" si="9"/>
        <v>0</v>
      </c>
      <c r="M37" s="70"/>
      <c r="N37" s="70"/>
      <c r="O37" s="70"/>
      <c r="P37" s="142">
        <f t="shared" si="7"/>
        <v>7.8252314814814816E-2</v>
      </c>
      <c r="R37" s="143">
        <v>118</v>
      </c>
      <c r="S37" s="144">
        <v>26</v>
      </c>
      <c r="T37" s="138">
        <f t="shared" si="10"/>
        <v>118</v>
      </c>
      <c r="U37" s="145">
        <v>1</v>
      </c>
      <c r="V37" s="146">
        <v>31</v>
      </c>
      <c r="W37" s="138">
        <f t="shared" si="8"/>
        <v>1</v>
      </c>
    </row>
    <row r="38" spans="1:23" s="127" customFormat="1" ht="13.65" customHeight="1" x14ac:dyDescent="0.3">
      <c r="A38" s="45">
        <v>27</v>
      </c>
      <c r="B38" s="47">
        <v>41</v>
      </c>
      <c r="C38" s="121" t="str">
        <f t="shared" si="0"/>
        <v>CZE19971201</v>
      </c>
      <c r="D38" s="122" t="str">
        <f t="shared" si="1"/>
        <v xml:space="preserve">CHYTIL Daniel </v>
      </c>
      <c r="E38" s="123" t="str">
        <f t="shared" si="2"/>
        <v xml:space="preserve">SKC TUFO PROSTĚJOV </v>
      </c>
      <c r="F38" s="124">
        <f t="shared" si="3"/>
        <v>13150</v>
      </c>
      <c r="G38" s="125" t="str">
        <f t="shared" si="4"/>
        <v xml:space="preserve">JUNIOR </v>
      </c>
      <c r="H38" s="125" t="str">
        <f t="shared" si="5"/>
        <v>STP</v>
      </c>
      <c r="I38" s="141">
        <v>7.8252314814814816E-2</v>
      </c>
      <c r="J38" s="70">
        <f t="shared" si="6"/>
        <v>0</v>
      </c>
      <c r="K38" s="70">
        <f t="shared" si="9"/>
        <v>0</v>
      </c>
      <c r="M38" s="70"/>
      <c r="N38" s="70"/>
      <c r="O38" s="70"/>
      <c r="P38" s="142">
        <f t="shared" si="7"/>
        <v>7.8252314814814816E-2</v>
      </c>
      <c r="R38" s="143">
        <v>41</v>
      </c>
      <c r="S38" s="144">
        <v>27</v>
      </c>
      <c r="T38" s="138">
        <f t="shared" si="10"/>
        <v>41</v>
      </c>
      <c r="U38" s="145">
        <v>1</v>
      </c>
      <c r="V38" s="146">
        <v>32</v>
      </c>
      <c r="W38" s="138">
        <f t="shared" si="8"/>
        <v>1</v>
      </c>
    </row>
    <row r="39" spans="1:23" s="127" customFormat="1" ht="13.65" customHeight="1" x14ac:dyDescent="0.3">
      <c r="A39" s="45">
        <v>28</v>
      </c>
      <c r="B39" s="47">
        <v>8</v>
      </c>
      <c r="C39" s="121" t="str">
        <f t="shared" si="0"/>
        <v>GER19970701</v>
      </c>
      <c r="D39" s="122" t="str">
        <f t="shared" si="1"/>
        <v>ZETZSCHE Till</v>
      </c>
      <c r="E39" s="123" t="str">
        <f t="shared" si="2"/>
        <v>RSC COTTBUS</v>
      </c>
      <c r="F39" s="124" t="str">
        <f t="shared" si="3"/>
        <v>BRA043938</v>
      </c>
      <c r="G39" s="125" t="str">
        <f t="shared" si="4"/>
        <v xml:space="preserve">JUNIOR </v>
      </c>
      <c r="H39" s="125" t="str">
        <f t="shared" si="5"/>
        <v>COT</v>
      </c>
      <c r="I39" s="141">
        <v>7.8252314814814816E-2</v>
      </c>
      <c r="J39" s="70">
        <f t="shared" si="6"/>
        <v>0</v>
      </c>
      <c r="K39" s="70">
        <f t="shared" si="9"/>
        <v>0</v>
      </c>
      <c r="M39" s="70"/>
      <c r="N39" s="70"/>
      <c r="O39" s="70"/>
      <c r="P39" s="142">
        <f t="shared" si="7"/>
        <v>7.8252314814814816E-2</v>
      </c>
      <c r="R39" s="143">
        <v>8</v>
      </c>
      <c r="S39" s="144">
        <v>28</v>
      </c>
      <c r="T39" s="138">
        <f t="shared" si="10"/>
        <v>8</v>
      </c>
      <c r="U39" s="145">
        <v>1</v>
      </c>
      <c r="V39" s="146">
        <v>33</v>
      </c>
      <c r="W39" s="138">
        <f t="shared" si="8"/>
        <v>1</v>
      </c>
    </row>
    <row r="40" spans="1:23" s="127" customFormat="1" ht="13.65" customHeight="1" x14ac:dyDescent="0.3">
      <c r="A40" s="45">
        <v>29</v>
      </c>
      <c r="B40" s="47">
        <v>45</v>
      </c>
      <c r="C40" s="121" t="str">
        <f t="shared" si="0"/>
        <v>CZE19971015</v>
      </c>
      <c r="D40" s="122" t="str">
        <f t="shared" si="1"/>
        <v xml:space="preserve">STRUPEK Matyáš </v>
      </c>
      <c r="E40" s="123" t="str">
        <f t="shared" si="2"/>
        <v xml:space="preserve">SKC TUFO PROSTĚJOV </v>
      </c>
      <c r="F40" s="124">
        <f t="shared" si="3"/>
        <v>11747</v>
      </c>
      <c r="G40" s="125" t="str">
        <f t="shared" si="4"/>
        <v xml:space="preserve">JUNIOR </v>
      </c>
      <c r="H40" s="125" t="str">
        <f t="shared" si="5"/>
        <v>STP</v>
      </c>
      <c r="I40" s="141">
        <v>7.8252314814814816E-2</v>
      </c>
      <c r="J40" s="70">
        <f t="shared" si="6"/>
        <v>0</v>
      </c>
      <c r="K40" s="70">
        <f t="shared" si="9"/>
        <v>0</v>
      </c>
      <c r="M40" s="70"/>
      <c r="N40" s="70"/>
      <c r="O40" s="70"/>
      <c r="P40" s="142">
        <f t="shared" si="7"/>
        <v>7.8252314814814816E-2</v>
      </c>
      <c r="R40" s="143">
        <v>45</v>
      </c>
      <c r="S40" s="144">
        <v>29</v>
      </c>
      <c r="T40" s="138">
        <f t="shared" si="10"/>
        <v>45</v>
      </c>
      <c r="U40" s="145">
        <v>1</v>
      </c>
      <c r="V40" s="146">
        <v>34</v>
      </c>
      <c r="W40" s="138">
        <f t="shared" si="8"/>
        <v>1</v>
      </c>
    </row>
    <row r="41" spans="1:23" s="127" customFormat="1" ht="13.65" customHeight="1" x14ac:dyDescent="0.3">
      <c r="A41" s="45">
        <v>30</v>
      </c>
      <c r="B41" s="47">
        <v>39</v>
      </c>
      <c r="C41" s="121" t="str">
        <f t="shared" si="0"/>
        <v>*GER19980906</v>
      </c>
      <c r="D41" s="122" t="str">
        <f t="shared" si="1"/>
        <v>ZSCHOCKE Maximilian</v>
      </c>
      <c r="E41" s="123" t="str">
        <f t="shared" si="2"/>
        <v>JUNIOREN SCHWALBE TEAM SACHSEN</v>
      </c>
      <c r="F41" s="124" t="str">
        <f t="shared" si="3"/>
        <v>SAC135079</v>
      </c>
      <c r="G41" s="125" t="str">
        <f t="shared" si="4"/>
        <v>JUNIOR *</v>
      </c>
      <c r="H41" s="125" t="str">
        <f t="shared" si="5"/>
        <v>SAC</v>
      </c>
      <c r="I41" s="141">
        <v>7.8252314814814816E-2</v>
      </c>
      <c r="J41" s="70">
        <f t="shared" si="6"/>
        <v>0</v>
      </c>
      <c r="K41" s="70">
        <f t="shared" si="9"/>
        <v>0</v>
      </c>
      <c r="M41" s="70"/>
      <c r="N41" s="70"/>
      <c r="O41" s="70"/>
      <c r="P41" s="142">
        <f t="shared" si="7"/>
        <v>7.8252314814814816E-2</v>
      </c>
      <c r="R41" s="143">
        <v>39</v>
      </c>
      <c r="S41" s="144">
        <v>30</v>
      </c>
      <c r="T41" s="138">
        <f t="shared" si="10"/>
        <v>39</v>
      </c>
      <c r="U41" s="145">
        <v>1</v>
      </c>
      <c r="V41" s="146">
        <v>35</v>
      </c>
      <c r="W41" s="138">
        <f t="shared" si="8"/>
        <v>1</v>
      </c>
    </row>
    <row r="42" spans="1:23" s="127" customFormat="1" ht="13.65" customHeight="1" x14ac:dyDescent="0.3">
      <c r="A42" s="45">
        <v>31</v>
      </c>
      <c r="B42" s="47">
        <v>147</v>
      </c>
      <c r="C42" s="121" t="str">
        <f t="shared" si="0"/>
        <v>CZE19970127</v>
      </c>
      <c r="D42" s="122" t="str">
        <f t="shared" si="1"/>
        <v xml:space="preserve">KOTOUČEK Matěj </v>
      </c>
      <c r="E42" s="123" t="str">
        <f t="shared" si="2"/>
        <v xml:space="preserve">MIX6 - TJ FAVORIT BRNO </v>
      </c>
      <c r="F42" s="124">
        <f t="shared" si="3"/>
        <v>9917</v>
      </c>
      <c r="G42" s="125" t="str">
        <f t="shared" si="4"/>
        <v xml:space="preserve">JUNIOR </v>
      </c>
      <c r="H42" s="125" t="str">
        <f t="shared" si="5"/>
        <v>FAV</v>
      </c>
      <c r="I42" s="141">
        <v>7.8252314814814816E-2</v>
      </c>
      <c r="J42" s="70">
        <f t="shared" si="6"/>
        <v>0</v>
      </c>
      <c r="K42" s="70">
        <f t="shared" si="9"/>
        <v>0</v>
      </c>
      <c r="M42" s="70"/>
      <c r="N42" s="70"/>
      <c r="O42" s="70"/>
      <c r="P42" s="142">
        <f t="shared" si="7"/>
        <v>7.8252314814814816E-2</v>
      </c>
      <c r="R42" s="143">
        <v>147</v>
      </c>
      <c r="S42" s="144">
        <v>31</v>
      </c>
      <c r="T42" s="138">
        <f t="shared" si="10"/>
        <v>147</v>
      </c>
      <c r="U42" s="145">
        <v>1</v>
      </c>
      <c r="V42" s="146">
        <v>36</v>
      </c>
      <c r="W42" s="138">
        <f t="shared" si="8"/>
        <v>1</v>
      </c>
    </row>
    <row r="43" spans="1:23" s="127" customFormat="1" ht="13.65" customHeight="1" x14ac:dyDescent="0.3">
      <c r="A43" s="45">
        <v>32</v>
      </c>
      <c r="B43" s="47">
        <v>146</v>
      </c>
      <c r="C43" s="121" t="str">
        <f t="shared" si="0"/>
        <v>CZE19970414</v>
      </c>
      <c r="D43" s="122" t="str">
        <f t="shared" si="1"/>
        <v xml:space="preserve">DVOŘÁK Jakub </v>
      </c>
      <c r="E43" s="123" t="str">
        <f t="shared" si="2"/>
        <v xml:space="preserve">MIX6 - TJ FAVORIT BRNO </v>
      </c>
      <c r="F43" s="124">
        <f t="shared" si="3"/>
        <v>14284</v>
      </c>
      <c r="G43" s="125" t="str">
        <f t="shared" si="4"/>
        <v xml:space="preserve">JUNIOR </v>
      </c>
      <c r="H43" s="125" t="str">
        <f t="shared" si="5"/>
        <v>FAV</v>
      </c>
      <c r="I43" s="141">
        <v>7.8252314814814816E-2</v>
      </c>
      <c r="J43" s="70">
        <f t="shared" si="6"/>
        <v>0</v>
      </c>
      <c r="K43" s="70">
        <f t="shared" si="9"/>
        <v>0</v>
      </c>
      <c r="M43" s="70"/>
      <c r="N43" s="70"/>
      <c r="O43" s="70"/>
      <c r="P43" s="142">
        <f t="shared" si="7"/>
        <v>7.8252314814814816E-2</v>
      </c>
      <c r="R43" s="143">
        <v>146</v>
      </c>
      <c r="S43" s="144">
        <v>32</v>
      </c>
      <c r="T43" s="138">
        <f t="shared" si="10"/>
        <v>146</v>
      </c>
      <c r="U43" s="145">
        <v>1</v>
      </c>
      <c r="V43" s="146">
        <v>37</v>
      </c>
      <c r="W43" s="138">
        <f t="shared" si="8"/>
        <v>1</v>
      </c>
    </row>
    <row r="44" spans="1:23" s="127" customFormat="1" ht="13.65" customHeight="1" x14ac:dyDescent="0.3">
      <c r="A44" s="45">
        <v>33</v>
      </c>
      <c r="B44" s="47">
        <v>71</v>
      </c>
      <c r="C44" s="121" t="str">
        <f t="shared" ref="C44:C75" si="11">VLOOKUP(B44,STARTOVKA,2,0)</f>
        <v>CZE19990814*</v>
      </c>
      <c r="D44" s="122" t="str">
        <f t="shared" ref="D44:D75" si="12">VLOOKUP(B44,STARTOVKA,3,0)</f>
        <v xml:space="preserve">KLABOUCH Petr </v>
      </c>
      <c r="E44" s="123" t="str">
        <f t="shared" ref="E44:E75" si="13">VLOOKUP(B44,STARTOVKA,4,0)</f>
        <v>MIX2  - VELO - CLUB CIRKL Č.BUDĚJOVICE</v>
      </c>
      <c r="F44" s="124">
        <f t="shared" ref="F44:F75" si="14">VLOOKUP(B44,STARTOVKA,5,0)</f>
        <v>7815</v>
      </c>
      <c r="G44" s="125" t="str">
        <f t="shared" ref="G44:G75" si="15">VLOOKUP(B44,STARTOVKA,6,0)</f>
        <v>CADET</v>
      </c>
      <c r="H44" s="125" t="str">
        <f t="shared" ref="H44:H75" si="16">VLOOKUP(B44,STARTOVKA,7,0)</f>
        <v>KOV</v>
      </c>
      <c r="I44" s="141">
        <v>7.8252314814814816E-2</v>
      </c>
      <c r="J44" s="70">
        <f t="shared" ref="J44:J75" si="17">I44-$I$12</f>
        <v>0</v>
      </c>
      <c r="K44" s="70">
        <f t="shared" si="9"/>
        <v>0</v>
      </c>
      <c r="M44" s="70"/>
      <c r="N44" s="70"/>
      <c r="O44" s="70"/>
      <c r="P44" s="142">
        <f t="shared" si="7"/>
        <v>7.8252314814814816E-2</v>
      </c>
      <c r="R44" s="143">
        <v>71</v>
      </c>
      <c r="S44" s="144">
        <v>33</v>
      </c>
      <c r="T44" s="138">
        <f t="shared" si="10"/>
        <v>71</v>
      </c>
      <c r="U44" s="145">
        <v>1</v>
      </c>
      <c r="V44" s="146">
        <v>38</v>
      </c>
      <c r="W44" s="138">
        <f t="shared" ref="W44:W75" si="18">SUMIF(T:T,V:V,U:U)</f>
        <v>1</v>
      </c>
    </row>
    <row r="45" spans="1:23" s="127" customFormat="1" ht="13.65" customHeight="1" x14ac:dyDescent="0.3">
      <c r="A45" s="45">
        <v>34</v>
      </c>
      <c r="B45" s="47">
        <v>37</v>
      </c>
      <c r="C45" s="121" t="str">
        <f t="shared" si="11"/>
        <v>*GER19981209</v>
      </c>
      <c r="D45" s="122" t="str">
        <f t="shared" si="12"/>
        <v>NOLDE Tobias</v>
      </c>
      <c r="E45" s="123" t="str">
        <f t="shared" si="13"/>
        <v>JUNIOREN SCHWALBE TEAM SACHSEN</v>
      </c>
      <c r="F45" s="124" t="str">
        <f t="shared" si="14"/>
        <v>SAC095804</v>
      </c>
      <c r="G45" s="125" t="str">
        <f t="shared" si="15"/>
        <v>JUNIOR *</v>
      </c>
      <c r="H45" s="125" t="str">
        <f t="shared" si="16"/>
        <v>SAC</v>
      </c>
      <c r="I45" s="141">
        <v>7.8252314814814816E-2</v>
      </c>
      <c r="J45" s="70">
        <f t="shared" si="17"/>
        <v>0</v>
      </c>
      <c r="K45" s="70">
        <f t="shared" si="9"/>
        <v>0</v>
      </c>
      <c r="M45" s="70"/>
      <c r="N45" s="70"/>
      <c r="O45" s="70"/>
      <c r="P45" s="142">
        <f t="shared" si="7"/>
        <v>7.8252314814814816E-2</v>
      </c>
      <c r="R45" s="143">
        <v>37</v>
      </c>
      <c r="S45" s="144">
        <v>34</v>
      </c>
      <c r="T45" s="138">
        <f t="shared" si="10"/>
        <v>37</v>
      </c>
      <c r="U45" s="145">
        <v>1</v>
      </c>
      <c r="V45" s="146">
        <v>39</v>
      </c>
      <c r="W45" s="138">
        <f t="shared" si="18"/>
        <v>1</v>
      </c>
    </row>
    <row r="46" spans="1:23" s="127" customFormat="1" ht="13.65" customHeight="1" x14ac:dyDescent="0.3">
      <c r="A46" s="45">
        <v>35</v>
      </c>
      <c r="B46" s="47">
        <v>106</v>
      </c>
      <c r="C46" s="121" t="str">
        <f t="shared" si="11"/>
        <v>*SVK19980719</v>
      </c>
      <c r="D46" s="122" t="str">
        <f t="shared" si="12"/>
        <v>GAJDOŠÍK Ján</v>
      </c>
      <c r="E46" s="123" t="str">
        <f t="shared" si="13"/>
        <v>SLOVAK CYCLING FEDERATION</v>
      </c>
      <c r="F46" s="124" t="str">
        <f t="shared" si="14"/>
        <v>S 5766</v>
      </c>
      <c r="G46" s="125" t="str">
        <f t="shared" si="15"/>
        <v>JUNIOR *</v>
      </c>
      <c r="H46" s="125" t="str">
        <f t="shared" si="16"/>
        <v>SVK</v>
      </c>
      <c r="I46" s="141">
        <v>7.8252314814814816E-2</v>
      </c>
      <c r="J46" s="70">
        <f t="shared" si="17"/>
        <v>0</v>
      </c>
      <c r="K46" s="70">
        <f t="shared" si="9"/>
        <v>0</v>
      </c>
      <c r="M46" s="70"/>
      <c r="N46" s="70"/>
      <c r="O46" s="70"/>
      <c r="P46" s="142">
        <f t="shared" si="7"/>
        <v>7.8252314814814816E-2</v>
      </c>
      <c r="R46" s="143">
        <v>106</v>
      </c>
      <c r="S46" s="144">
        <v>35</v>
      </c>
      <c r="T46" s="138">
        <f t="shared" si="10"/>
        <v>106</v>
      </c>
      <c r="U46" s="145">
        <v>1</v>
      </c>
      <c r="V46" s="146">
        <v>40</v>
      </c>
      <c r="W46" s="138">
        <f t="shared" si="18"/>
        <v>1</v>
      </c>
    </row>
    <row r="47" spans="1:23" s="127" customFormat="1" ht="13.65" customHeight="1" x14ac:dyDescent="0.3">
      <c r="A47" s="45">
        <v>36</v>
      </c>
      <c r="B47" s="47">
        <v>57</v>
      </c>
      <c r="C47" s="121" t="str">
        <f t="shared" si="11"/>
        <v>POL19970825</v>
      </c>
      <c r="D47" s="122" t="str">
        <f t="shared" si="12"/>
        <v xml:space="preserve">GRZEGORZYCA Dominik </v>
      </c>
      <c r="E47" s="123" t="str">
        <f t="shared" si="13"/>
        <v xml:space="preserve">MIX1 - GRUPA KOLARSKA GLIWICE </v>
      </c>
      <c r="F47" s="124" t="str">
        <f t="shared" si="14"/>
        <v>SLA288</v>
      </c>
      <c r="G47" s="125" t="str">
        <f t="shared" si="15"/>
        <v xml:space="preserve">JUNIOR </v>
      </c>
      <c r="H47" s="125" t="str">
        <f t="shared" si="16"/>
        <v>SLZ</v>
      </c>
      <c r="I47" s="141">
        <v>7.8252314814814816E-2</v>
      </c>
      <c r="J47" s="70">
        <f t="shared" si="17"/>
        <v>0</v>
      </c>
      <c r="K47" s="70">
        <f t="shared" si="9"/>
        <v>0</v>
      </c>
      <c r="M47" s="70"/>
      <c r="N47" s="70"/>
      <c r="O47" s="70"/>
      <c r="P47" s="142">
        <f t="shared" si="7"/>
        <v>7.8252314814814816E-2</v>
      </c>
      <c r="R47" s="143">
        <v>57</v>
      </c>
      <c r="S47" s="144">
        <v>36</v>
      </c>
      <c r="T47" s="138">
        <f t="shared" si="10"/>
        <v>57</v>
      </c>
      <c r="U47" s="145">
        <v>1</v>
      </c>
      <c r="V47" s="146">
        <v>41</v>
      </c>
      <c r="W47" s="138">
        <f t="shared" si="18"/>
        <v>1</v>
      </c>
    </row>
    <row r="48" spans="1:23" s="127" customFormat="1" ht="13.65" customHeight="1" x14ac:dyDescent="0.3">
      <c r="A48" s="45">
        <v>37</v>
      </c>
      <c r="B48" s="47">
        <v>117</v>
      </c>
      <c r="C48" s="121" t="str">
        <f t="shared" si="11"/>
        <v>CZE19970109</v>
      </c>
      <c r="D48" s="122" t="str">
        <f t="shared" si="12"/>
        <v xml:space="preserve">SVATEK Miroslav </v>
      </c>
      <c r="E48" s="123" t="str">
        <f t="shared" si="13"/>
        <v xml:space="preserve">MIX3 - AC SPARTA PRAHA </v>
      </c>
      <c r="F48" s="124">
        <f t="shared" si="14"/>
        <v>9623</v>
      </c>
      <c r="G48" s="125" t="str">
        <f t="shared" si="15"/>
        <v xml:space="preserve">JUNIOR </v>
      </c>
      <c r="H48" s="125" t="str">
        <f t="shared" si="16"/>
        <v>CPP</v>
      </c>
      <c r="I48" s="141">
        <v>7.8252314814814816E-2</v>
      </c>
      <c r="J48" s="70">
        <f t="shared" si="17"/>
        <v>0</v>
      </c>
      <c r="K48" s="70">
        <f t="shared" si="9"/>
        <v>0</v>
      </c>
      <c r="M48" s="70"/>
      <c r="N48" s="70"/>
      <c r="O48" s="70"/>
      <c r="P48" s="142">
        <f t="shared" si="7"/>
        <v>7.8252314814814816E-2</v>
      </c>
      <c r="R48" s="143">
        <v>117</v>
      </c>
      <c r="S48" s="144">
        <v>37</v>
      </c>
      <c r="T48" s="138">
        <f t="shared" si="10"/>
        <v>117</v>
      </c>
      <c r="U48" s="145">
        <v>1</v>
      </c>
      <c r="V48" s="146">
        <v>42</v>
      </c>
      <c r="W48" s="138">
        <f t="shared" si="18"/>
        <v>1</v>
      </c>
    </row>
    <row r="49" spans="1:23" s="127" customFormat="1" ht="13.65" customHeight="1" x14ac:dyDescent="0.3">
      <c r="A49" s="45">
        <v>38</v>
      </c>
      <c r="B49" s="47">
        <v>94</v>
      </c>
      <c r="C49" s="121" t="str">
        <f t="shared" si="11"/>
        <v>GER19971001</v>
      </c>
      <c r="D49" s="122" t="str">
        <f t="shared" si="12"/>
        <v>HOLTZ Christopher</v>
      </c>
      <c r="E49" s="123" t="str">
        <f t="shared" si="13"/>
        <v>RG BERLIN</v>
      </c>
      <c r="F49" s="124" t="str">
        <f t="shared" si="14"/>
        <v>HAM051122</v>
      </c>
      <c r="G49" s="125" t="str">
        <f t="shared" si="15"/>
        <v xml:space="preserve">JUNIOR </v>
      </c>
      <c r="H49" s="125" t="str">
        <f t="shared" si="16"/>
        <v>RGB</v>
      </c>
      <c r="I49" s="141">
        <v>7.8252314814814816E-2</v>
      </c>
      <c r="J49" s="70">
        <f t="shared" si="17"/>
        <v>0</v>
      </c>
      <c r="K49" s="70">
        <f t="shared" si="9"/>
        <v>0</v>
      </c>
      <c r="M49" s="70"/>
      <c r="N49" s="70"/>
      <c r="O49" s="70"/>
      <c r="P49" s="142">
        <f t="shared" si="7"/>
        <v>7.8252314814814816E-2</v>
      </c>
      <c r="R49" s="143">
        <v>94</v>
      </c>
      <c r="S49" s="144">
        <v>38</v>
      </c>
      <c r="T49" s="138">
        <f t="shared" si="10"/>
        <v>94</v>
      </c>
      <c r="U49" s="145">
        <v>1</v>
      </c>
      <c r="V49" s="146">
        <v>43</v>
      </c>
      <c r="W49" s="138">
        <f t="shared" si="18"/>
        <v>1</v>
      </c>
    </row>
    <row r="50" spans="1:23" s="127" customFormat="1" ht="13.65" customHeight="1" x14ac:dyDescent="0.3">
      <c r="A50" s="45">
        <v>39</v>
      </c>
      <c r="B50" s="47">
        <v>103</v>
      </c>
      <c r="C50" s="121" t="str">
        <f t="shared" si="11"/>
        <v>SVK19970730</v>
      </c>
      <c r="D50" s="122" t="str">
        <f t="shared" si="12"/>
        <v>MEŇUŠ Tomáš</v>
      </c>
      <c r="E50" s="123" t="str">
        <f t="shared" si="13"/>
        <v>SLOVAK CYCLING FEDERATION</v>
      </c>
      <c r="F50" s="124" t="str">
        <f t="shared" si="14"/>
        <v>S 6668</v>
      </c>
      <c r="G50" s="125" t="str">
        <f t="shared" si="15"/>
        <v xml:space="preserve">JUNIOR </v>
      </c>
      <c r="H50" s="125" t="str">
        <f t="shared" si="16"/>
        <v>SVK</v>
      </c>
      <c r="I50" s="141">
        <v>7.8252314814814816E-2</v>
      </c>
      <c r="J50" s="70">
        <f t="shared" si="17"/>
        <v>0</v>
      </c>
      <c r="K50" s="70">
        <f t="shared" si="9"/>
        <v>0</v>
      </c>
      <c r="M50" s="70"/>
      <c r="N50" s="70"/>
      <c r="O50" s="70"/>
      <c r="P50" s="142">
        <f t="shared" si="7"/>
        <v>7.8252314814814816E-2</v>
      </c>
      <c r="R50" s="143">
        <v>103</v>
      </c>
      <c r="S50" s="144">
        <v>39</v>
      </c>
      <c r="T50" s="138">
        <f t="shared" si="10"/>
        <v>103</v>
      </c>
      <c r="U50" s="145">
        <v>1</v>
      </c>
      <c r="V50" s="146">
        <v>44</v>
      </c>
      <c r="W50" s="138">
        <f t="shared" si="18"/>
        <v>1</v>
      </c>
    </row>
    <row r="51" spans="1:23" s="127" customFormat="1" ht="13.65" customHeight="1" x14ac:dyDescent="0.3">
      <c r="A51" s="45">
        <v>40</v>
      </c>
      <c r="B51" s="47">
        <v>92</v>
      </c>
      <c r="C51" s="121" t="str">
        <f t="shared" si="11"/>
        <v>GER20000619*</v>
      </c>
      <c r="D51" s="122" t="str">
        <f t="shared" si="12"/>
        <v>DREIER Fabian</v>
      </c>
      <c r="E51" s="123" t="str">
        <f t="shared" si="13"/>
        <v>RG BERLIN</v>
      </c>
      <c r="F51" s="124" t="str">
        <f t="shared" si="14"/>
        <v>BER035135</v>
      </c>
      <c r="G51" s="125" t="str">
        <f t="shared" si="15"/>
        <v>CADET</v>
      </c>
      <c r="H51" s="125" t="str">
        <f t="shared" si="16"/>
        <v>RGB</v>
      </c>
      <c r="I51" s="141">
        <v>7.8252314814814816E-2</v>
      </c>
      <c r="J51" s="70">
        <f t="shared" si="17"/>
        <v>0</v>
      </c>
      <c r="K51" s="70">
        <f t="shared" si="9"/>
        <v>0</v>
      </c>
      <c r="M51" s="70"/>
      <c r="N51" s="70"/>
      <c r="O51" s="70"/>
      <c r="P51" s="142">
        <f t="shared" si="7"/>
        <v>7.8252314814814816E-2</v>
      </c>
      <c r="R51" s="143">
        <v>92</v>
      </c>
      <c r="S51" s="144">
        <v>40</v>
      </c>
      <c r="T51" s="138">
        <f t="shared" si="10"/>
        <v>92</v>
      </c>
      <c r="U51" s="145">
        <v>1</v>
      </c>
      <c r="V51" s="146">
        <v>45</v>
      </c>
      <c r="W51" s="138">
        <f t="shared" si="18"/>
        <v>1</v>
      </c>
    </row>
    <row r="52" spans="1:23" s="127" customFormat="1" ht="13.65" customHeight="1" x14ac:dyDescent="0.3">
      <c r="A52" s="45">
        <v>41</v>
      </c>
      <c r="B52" s="47">
        <v>161</v>
      </c>
      <c r="C52" s="121" t="str">
        <f t="shared" si="11"/>
        <v>*AUT19980216</v>
      </c>
      <c r="D52" s="122" t="str">
        <f t="shared" si="12"/>
        <v>FRIEDRICH Marco</v>
      </c>
      <c r="E52" s="123" t="str">
        <f t="shared" si="13"/>
        <v>LRV STEIERMARK</v>
      </c>
      <c r="F52" s="124">
        <f t="shared" si="14"/>
        <v>100698</v>
      </c>
      <c r="G52" s="125" t="str">
        <f t="shared" si="15"/>
        <v>JUNIOR *</v>
      </c>
      <c r="H52" s="125" t="str">
        <f t="shared" si="16"/>
        <v>LRS</v>
      </c>
      <c r="I52" s="141">
        <v>7.8252314814814816E-2</v>
      </c>
      <c r="J52" s="70">
        <f t="shared" si="17"/>
        <v>0</v>
      </c>
      <c r="K52" s="70">
        <f t="shared" si="9"/>
        <v>0</v>
      </c>
      <c r="M52" s="70"/>
      <c r="N52" s="70"/>
      <c r="O52" s="70"/>
      <c r="P52" s="142">
        <f t="shared" si="7"/>
        <v>7.8252314814814816E-2</v>
      </c>
      <c r="R52" s="143">
        <v>161</v>
      </c>
      <c r="S52" s="144">
        <v>41</v>
      </c>
      <c r="T52" s="138">
        <f t="shared" si="10"/>
        <v>161</v>
      </c>
      <c r="U52" s="145">
        <v>1</v>
      </c>
      <c r="V52" s="146">
        <v>46</v>
      </c>
      <c r="W52" s="138">
        <f t="shared" si="18"/>
        <v>1</v>
      </c>
    </row>
    <row r="53" spans="1:23" s="127" customFormat="1" ht="13.65" customHeight="1" x14ac:dyDescent="0.3">
      <c r="A53" s="45">
        <v>42</v>
      </c>
      <c r="B53" s="47">
        <v>150</v>
      </c>
      <c r="C53" s="121" t="str">
        <f t="shared" si="11"/>
        <v>*CZE19980624</v>
      </c>
      <c r="D53" s="122" t="str">
        <f t="shared" si="12"/>
        <v>PRUDEK Dominik</v>
      </c>
      <c r="E53" s="123" t="str">
        <f t="shared" si="13"/>
        <v xml:space="preserve">MIX6 - TJ FAVORIT BRNO </v>
      </c>
      <c r="F53" s="124">
        <f t="shared" si="14"/>
        <v>9600</v>
      </c>
      <c r="G53" s="125" t="str">
        <f t="shared" si="15"/>
        <v>JUNIOR *</v>
      </c>
      <c r="H53" s="125" t="str">
        <f t="shared" si="16"/>
        <v>FAV</v>
      </c>
      <c r="I53" s="141">
        <v>7.8252314814814816E-2</v>
      </c>
      <c r="J53" s="70">
        <f t="shared" si="17"/>
        <v>0</v>
      </c>
      <c r="K53" s="70">
        <f t="shared" si="9"/>
        <v>0</v>
      </c>
      <c r="M53" s="70"/>
      <c r="N53" s="70"/>
      <c r="O53" s="70"/>
      <c r="P53" s="142">
        <f t="shared" si="7"/>
        <v>7.8252314814814816E-2</v>
      </c>
      <c r="R53" s="143">
        <v>150</v>
      </c>
      <c r="S53" s="144">
        <v>42</v>
      </c>
      <c r="T53" s="138">
        <f t="shared" si="10"/>
        <v>150</v>
      </c>
      <c r="U53" s="145">
        <v>1</v>
      </c>
      <c r="V53" s="146">
        <v>51</v>
      </c>
      <c r="W53" s="138">
        <f t="shared" si="18"/>
        <v>1</v>
      </c>
    </row>
    <row r="54" spans="1:23" s="127" customFormat="1" ht="13.65" customHeight="1" x14ac:dyDescent="0.3">
      <c r="A54" s="45">
        <v>43</v>
      </c>
      <c r="B54" s="47">
        <v>21</v>
      </c>
      <c r="C54" s="121" t="str">
        <f t="shared" si="11"/>
        <v>CZE19971022</v>
      </c>
      <c r="D54" s="122" t="str">
        <f t="shared" si="12"/>
        <v xml:space="preserve">KLEVETA Jakub </v>
      </c>
      <c r="E54" s="123" t="str">
        <f t="shared" si="13"/>
        <v xml:space="preserve">MAPEI MERIDA KAŇKOVSKÝ </v>
      </c>
      <c r="F54" s="124">
        <f t="shared" si="14"/>
        <v>10284</v>
      </c>
      <c r="G54" s="125" t="str">
        <f t="shared" si="15"/>
        <v xml:space="preserve">JUNIOR </v>
      </c>
      <c r="H54" s="125" t="str">
        <f t="shared" si="16"/>
        <v>MAP</v>
      </c>
      <c r="I54" s="141">
        <v>7.8252314814814816E-2</v>
      </c>
      <c r="J54" s="70">
        <f t="shared" si="17"/>
        <v>0</v>
      </c>
      <c r="K54" s="70">
        <f t="shared" si="9"/>
        <v>0</v>
      </c>
      <c r="M54" s="70"/>
      <c r="N54" s="70"/>
      <c r="O54" s="70"/>
      <c r="P54" s="142">
        <f t="shared" si="7"/>
        <v>7.8252314814814816E-2</v>
      </c>
      <c r="R54" s="143">
        <v>21</v>
      </c>
      <c r="S54" s="144">
        <v>43</v>
      </c>
      <c r="T54" s="138">
        <f t="shared" si="10"/>
        <v>21</v>
      </c>
      <c r="U54" s="145">
        <v>1</v>
      </c>
      <c r="V54" s="146">
        <v>52</v>
      </c>
      <c r="W54" s="138">
        <f t="shared" si="18"/>
        <v>1</v>
      </c>
    </row>
    <row r="55" spans="1:23" s="127" customFormat="1" ht="13.65" customHeight="1" x14ac:dyDescent="0.3">
      <c r="A55" s="45">
        <v>44</v>
      </c>
      <c r="B55" s="47">
        <v>111</v>
      </c>
      <c r="C55" s="121" t="str">
        <f t="shared" si="11"/>
        <v>*CZE19981028</v>
      </c>
      <c r="D55" s="122" t="str">
        <f t="shared" si="12"/>
        <v xml:space="preserve">BAKUS Tomáš </v>
      </c>
      <c r="E55" s="123" t="str">
        <f t="shared" si="13"/>
        <v xml:space="preserve">MIX3 - ČEZ CYKLO TEAM TÁBOR </v>
      </c>
      <c r="F55" s="124">
        <f t="shared" si="14"/>
        <v>20355</v>
      </c>
      <c r="G55" s="125" t="str">
        <f t="shared" si="15"/>
        <v>JUNIOR *</v>
      </c>
      <c r="H55" s="125" t="str">
        <f t="shared" si="16"/>
        <v>CPP</v>
      </c>
      <c r="I55" s="141">
        <v>7.8252314814814816E-2</v>
      </c>
      <c r="J55" s="70">
        <f t="shared" si="17"/>
        <v>0</v>
      </c>
      <c r="K55" s="70">
        <f t="shared" si="9"/>
        <v>0</v>
      </c>
      <c r="M55" s="70"/>
      <c r="N55" s="70"/>
      <c r="O55" s="70"/>
      <c r="P55" s="142">
        <f t="shared" si="7"/>
        <v>7.8252314814814816E-2</v>
      </c>
      <c r="R55" s="143">
        <v>111</v>
      </c>
      <c r="S55" s="144">
        <v>44</v>
      </c>
      <c r="T55" s="138">
        <f t="shared" si="10"/>
        <v>111</v>
      </c>
      <c r="U55" s="145">
        <v>1</v>
      </c>
      <c r="V55" s="146">
        <v>53</v>
      </c>
      <c r="W55" s="138">
        <f t="shared" si="18"/>
        <v>1</v>
      </c>
    </row>
    <row r="56" spans="1:23" s="127" customFormat="1" ht="13.65" customHeight="1" x14ac:dyDescent="0.3">
      <c r="A56" s="45">
        <v>45</v>
      </c>
      <c r="B56" s="47">
        <v>78</v>
      </c>
      <c r="C56" s="121" t="str">
        <f t="shared" si="11"/>
        <v>*CZE19980106</v>
      </c>
      <c r="D56" s="122" t="str">
        <f t="shared" si="12"/>
        <v xml:space="preserve">BÁRTEK David </v>
      </c>
      <c r="E56" s="123" t="str">
        <f t="shared" si="13"/>
        <v xml:space="preserve">MIX2  - VRV TEAM </v>
      </c>
      <c r="F56" s="124">
        <f t="shared" si="14"/>
        <v>5332</v>
      </c>
      <c r="G56" s="125" t="str">
        <f t="shared" si="15"/>
        <v>JUNIOR *</v>
      </c>
      <c r="H56" s="125" t="str">
        <f t="shared" si="16"/>
        <v>KOV</v>
      </c>
      <c r="I56" s="141">
        <v>7.8252314814814816E-2</v>
      </c>
      <c r="J56" s="70">
        <f t="shared" si="17"/>
        <v>0</v>
      </c>
      <c r="K56" s="70">
        <f t="shared" si="9"/>
        <v>0</v>
      </c>
      <c r="M56" s="70"/>
      <c r="N56" s="70"/>
      <c r="O56" s="70"/>
      <c r="P56" s="142">
        <f t="shared" si="7"/>
        <v>7.8252314814814816E-2</v>
      </c>
      <c r="R56" s="143">
        <v>78</v>
      </c>
      <c r="S56" s="144">
        <v>45</v>
      </c>
      <c r="T56" s="138">
        <f t="shared" si="10"/>
        <v>78</v>
      </c>
      <c r="U56" s="145">
        <v>1</v>
      </c>
      <c r="V56" s="146">
        <v>54</v>
      </c>
      <c r="W56" s="138">
        <f t="shared" si="18"/>
        <v>1</v>
      </c>
    </row>
    <row r="57" spans="1:23" s="127" customFormat="1" ht="13.65" customHeight="1" x14ac:dyDescent="0.3">
      <c r="A57" s="45">
        <v>46</v>
      </c>
      <c r="B57" s="47">
        <v>79</v>
      </c>
      <c r="C57" s="121" t="str">
        <f t="shared" si="11"/>
        <v>*CZE19980414</v>
      </c>
      <c r="D57" s="122" t="str">
        <f t="shared" si="12"/>
        <v xml:space="preserve">MACEK Michal </v>
      </c>
      <c r="E57" s="123" t="str">
        <f t="shared" si="13"/>
        <v xml:space="preserve">MIX2  - VRV TEAM </v>
      </c>
      <c r="F57" s="124">
        <f t="shared" si="14"/>
        <v>19708</v>
      </c>
      <c r="G57" s="125" t="str">
        <f t="shared" si="15"/>
        <v>JUNIOR *</v>
      </c>
      <c r="H57" s="125" t="str">
        <f t="shared" si="16"/>
        <v>KOV</v>
      </c>
      <c r="I57" s="141">
        <v>7.8252314814814816E-2</v>
      </c>
      <c r="J57" s="70">
        <f t="shared" si="17"/>
        <v>0</v>
      </c>
      <c r="K57" s="70">
        <f t="shared" si="9"/>
        <v>0</v>
      </c>
      <c r="M57" s="70"/>
      <c r="N57" s="70"/>
      <c r="O57" s="70"/>
      <c r="P57" s="142">
        <f t="shared" si="7"/>
        <v>7.8252314814814816E-2</v>
      </c>
      <c r="R57" s="143">
        <v>79</v>
      </c>
      <c r="S57" s="144">
        <v>46</v>
      </c>
      <c r="T57" s="138">
        <f t="shared" si="10"/>
        <v>79</v>
      </c>
      <c r="U57" s="145">
        <v>1</v>
      </c>
      <c r="V57" s="146">
        <v>55</v>
      </c>
      <c r="W57" s="138">
        <f t="shared" si="18"/>
        <v>1</v>
      </c>
    </row>
    <row r="58" spans="1:23" s="127" customFormat="1" ht="13.65" customHeight="1" x14ac:dyDescent="0.3">
      <c r="A58" s="45">
        <v>47</v>
      </c>
      <c r="B58" s="47">
        <v>15</v>
      </c>
      <c r="C58" s="121" t="str">
        <f t="shared" si="11"/>
        <v>*GER19980410</v>
      </c>
      <c r="D58" s="122" t="str">
        <f t="shared" si="12"/>
        <v>DÖPEL Robin</v>
      </c>
      <c r="E58" s="123" t="str">
        <f t="shared" si="13"/>
        <v>THÜRINGER RADSPORT VERBAND</v>
      </c>
      <c r="F58" s="124" t="str">
        <f t="shared" si="14"/>
        <v>THÜ173350</v>
      </c>
      <c r="G58" s="125" t="str">
        <f t="shared" si="15"/>
        <v>JUNIOR *</v>
      </c>
      <c r="H58" s="125" t="str">
        <f t="shared" si="16"/>
        <v>THU</v>
      </c>
      <c r="I58" s="141">
        <v>7.8252314814814816E-2</v>
      </c>
      <c r="J58" s="70">
        <f t="shared" si="17"/>
        <v>0</v>
      </c>
      <c r="K58" s="70">
        <f t="shared" si="9"/>
        <v>0</v>
      </c>
      <c r="M58" s="70"/>
      <c r="N58" s="70"/>
      <c r="O58" s="70"/>
      <c r="P58" s="142">
        <f t="shared" si="7"/>
        <v>7.8252314814814816E-2</v>
      </c>
      <c r="R58" s="143">
        <v>15</v>
      </c>
      <c r="S58" s="144">
        <v>47</v>
      </c>
      <c r="T58" s="138">
        <f t="shared" si="10"/>
        <v>15</v>
      </c>
      <c r="U58" s="145">
        <v>1</v>
      </c>
      <c r="V58" s="146">
        <v>56</v>
      </c>
      <c r="W58" s="138">
        <f t="shared" si="18"/>
        <v>1</v>
      </c>
    </row>
    <row r="59" spans="1:23" s="127" customFormat="1" ht="13.65" customHeight="1" x14ac:dyDescent="0.3">
      <c r="A59" s="45">
        <v>48</v>
      </c>
      <c r="B59" s="47">
        <v>4</v>
      </c>
      <c r="C59" s="121" t="str">
        <f t="shared" si="11"/>
        <v>*GER19981204</v>
      </c>
      <c r="D59" s="122" t="str">
        <f t="shared" si="12"/>
        <v>MÜLLER Tom</v>
      </c>
      <c r="E59" s="123" t="str">
        <f t="shared" si="13"/>
        <v>RSC COTTBUS</v>
      </c>
      <c r="F59" s="124" t="str">
        <f t="shared" si="14"/>
        <v>BRA044003</v>
      </c>
      <c r="G59" s="125" t="str">
        <f t="shared" si="15"/>
        <v>JUNIOR *</v>
      </c>
      <c r="H59" s="125" t="str">
        <f t="shared" si="16"/>
        <v>COT</v>
      </c>
      <c r="I59" s="141">
        <v>7.8252314814814816E-2</v>
      </c>
      <c r="J59" s="70">
        <f t="shared" si="17"/>
        <v>0</v>
      </c>
      <c r="K59" s="70">
        <f t="shared" si="9"/>
        <v>0</v>
      </c>
      <c r="M59" s="70"/>
      <c r="N59" s="70"/>
      <c r="O59" s="70"/>
      <c r="P59" s="142">
        <f t="shared" si="7"/>
        <v>7.8252314814814816E-2</v>
      </c>
      <c r="R59" s="143">
        <v>4</v>
      </c>
      <c r="S59" s="144">
        <v>48</v>
      </c>
      <c r="T59" s="138">
        <f t="shared" si="10"/>
        <v>4</v>
      </c>
      <c r="U59" s="145">
        <v>1</v>
      </c>
      <c r="V59" s="146">
        <v>57</v>
      </c>
      <c r="W59" s="138">
        <f t="shared" si="18"/>
        <v>1</v>
      </c>
    </row>
    <row r="60" spans="1:23" s="127" customFormat="1" ht="13.65" customHeight="1" x14ac:dyDescent="0.3">
      <c r="A60" s="45">
        <v>49</v>
      </c>
      <c r="B60" s="47">
        <v>13</v>
      </c>
      <c r="C60" s="121" t="str">
        <f t="shared" si="11"/>
        <v>GER19970811</v>
      </c>
      <c r="D60" s="122" t="str">
        <f t="shared" si="12"/>
        <v>LINTZEL Philip</v>
      </c>
      <c r="E60" s="123" t="str">
        <f t="shared" si="13"/>
        <v>THÜRINGER RADSPORT VERBAND</v>
      </c>
      <c r="F60" s="124" t="str">
        <f t="shared" si="14"/>
        <v>THÜ173079</v>
      </c>
      <c r="G60" s="125" t="str">
        <f t="shared" si="15"/>
        <v xml:space="preserve">JUNIOR </v>
      </c>
      <c r="H60" s="125" t="str">
        <f t="shared" si="16"/>
        <v>THU</v>
      </c>
      <c r="I60" s="141">
        <v>7.8252314814814816E-2</v>
      </c>
      <c r="J60" s="70">
        <f t="shared" si="17"/>
        <v>0</v>
      </c>
      <c r="K60" s="70">
        <f t="shared" si="9"/>
        <v>0</v>
      </c>
      <c r="M60" s="70"/>
      <c r="N60" s="70"/>
      <c r="O60" s="70"/>
      <c r="P60" s="142">
        <f t="shared" si="7"/>
        <v>7.8252314814814816E-2</v>
      </c>
      <c r="R60" s="143">
        <v>13</v>
      </c>
      <c r="S60" s="144">
        <v>49</v>
      </c>
      <c r="T60" s="138">
        <f t="shared" si="10"/>
        <v>13</v>
      </c>
      <c r="U60" s="145">
        <v>1</v>
      </c>
      <c r="V60" s="146">
        <v>58</v>
      </c>
      <c r="W60" s="138">
        <f t="shared" si="18"/>
        <v>1</v>
      </c>
    </row>
    <row r="61" spans="1:23" s="127" customFormat="1" ht="13.65" customHeight="1" x14ac:dyDescent="0.3">
      <c r="A61" s="45">
        <v>50</v>
      </c>
      <c r="B61" s="47">
        <v>51</v>
      </c>
      <c r="C61" s="121" t="str">
        <f t="shared" si="11"/>
        <v>*CZE19980914</v>
      </c>
      <c r="D61" s="122" t="str">
        <f t="shared" si="12"/>
        <v>TRACHTULEC Petr</v>
      </c>
      <c r="E61" s="123" t="str">
        <f t="shared" si="13"/>
        <v>MIX1 - CK FESO PETŘVALD</v>
      </c>
      <c r="F61" s="124">
        <f t="shared" si="14"/>
        <v>20073</v>
      </c>
      <c r="G61" s="125" t="str">
        <f t="shared" si="15"/>
        <v>JUNIOR *</v>
      </c>
      <c r="H61" s="125" t="str">
        <f t="shared" si="16"/>
        <v>SLZ</v>
      </c>
      <c r="I61" s="141">
        <v>7.8252314814814816E-2</v>
      </c>
      <c r="J61" s="70">
        <f t="shared" si="17"/>
        <v>0</v>
      </c>
      <c r="K61" s="70">
        <f t="shared" si="9"/>
        <v>0</v>
      </c>
      <c r="M61" s="70"/>
      <c r="N61" s="70"/>
      <c r="O61" s="70"/>
      <c r="P61" s="142">
        <f t="shared" si="7"/>
        <v>7.8252314814814816E-2</v>
      </c>
      <c r="R61" s="143">
        <v>51</v>
      </c>
      <c r="S61" s="144">
        <v>50</v>
      </c>
      <c r="T61" s="138">
        <f t="shared" si="10"/>
        <v>51</v>
      </c>
      <c r="U61" s="145">
        <v>1</v>
      </c>
      <c r="V61" s="146">
        <v>59</v>
      </c>
      <c r="W61" s="138">
        <f t="shared" si="18"/>
        <v>1</v>
      </c>
    </row>
    <row r="62" spans="1:23" s="127" customFormat="1" ht="13.65" customHeight="1" x14ac:dyDescent="0.3">
      <c r="A62" s="45">
        <v>51</v>
      </c>
      <c r="B62" s="47">
        <v>6</v>
      </c>
      <c r="C62" s="121" t="str">
        <f t="shared" si="11"/>
        <v>*GER19980317</v>
      </c>
      <c r="D62" s="122" t="str">
        <f t="shared" si="12"/>
        <v>SCHNEIDER William</v>
      </c>
      <c r="E62" s="123" t="str">
        <f t="shared" si="13"/>
        <v>RSC COTTBUS</v>
      </c>
      <c r="F62" s="124" t="str">
        <f t="shared" si="14"/>
        <v>BRA043275</v>
      </c>
      <c r="G62" s="125" t="str">
        <f t="shared" si="15"/>
        <v>JUNIOR *</v>
      </c>
      <c r="H62" s="125" t="str">
        <f t="shared" si="16"/>
        <v>COT</v>
      </c>
      <c r="I62" s="141">
        <v>7.8252314814814816E-2</v>
      </c>
      <c r="J62" s="70">
        <f t="shared" si="17"/>
        <v>0</v>
      </c>
      <c r="K62" s="70">
        <f t="shared" si="9"/>
        <v>0</v>
      </c>
      <c r="M62" s="70"/>
      <c r="N62" s="70"/>
      <c r="O62" s="70"/>
      <c r="P62" s="142">
        <f t="shared" si="7"/>
        <v>7.8252314814814816E-2</v>
      </c>
      <c r="R62" s="143">
        <v>6</v>
      </c>
      <c r="S62" s="144">
        <v>51</v>
      </c>
      <c r="T62" s="138">
        <f t="shared" si="10"/>
        <v>6</v>
      </c>
      <c r="U62" s="145">
        <v>1</v>
      </c>
      <c r="V62" s="146">
        <v>60</v>
      </c>
      <c r="W62" s="138">
        <f t="shared" si="18"/>
        <v>1</v>
      </c>
    </row>
    <row r="63" spans="1:23" s="127" customFormat="1" ht="13.65" customHeight="1" x14ac:dyDescent="0.3">
      <c r="A63" s="45">
        <v>52</v>
      </c>
      <c r="B63" s="47">
        <v>18</v>
      </c>
      <c r="C63" s="121" t="str">
        <f t="shared" si="11"/>
        <v>GER19990507*</v>
      </c>
      <c r="D63" s="122" t="str">
        <f t="shared" si="12"/>
        <v>PAKALSKI Henrik</v>
      </c>
      <c r="E63" s="123" t="str">
        <f t="shared" si="13"/>
        <v>THÜRINGER RADSPORT VERBAND</v>
      </c>
      <c r="F63" s="124" t="str">
        <f t="shared" si="14"/>
        <v>THÜ043870</v>
      </c>
      <c r="G63" s="125" t="str">
        <f t="shared" si="15"/>
        <v>CADET</v>
      </c>
      <c r="H63" s="125" t="str">
        <f t="shared" si="16"/>
        <v>THU</v>
      </c>
      <c r="I63" s="141">
        <v>7.8252314814814816E-2</v>
      </c>
      <c r="J63" s="70">
        <f t="shared" si="17"/>
        <v>0</v>
      </c>
      <c r="K63" s="70">
        <f t="shared" si="9"/>
        <v>0</v>
      </c>
      <c r="M63" s="70"/>
      <c r="N63" s="70"/>
      <c r="O63" s="70"/>
      <c r="P63" s="142">
        <f t="shared" si="7"/>
        <v>7.8252314814814816E-2</v>
      </c>
      <c r="R63" s="143">
        <v>18</v>
      </c>
      <c r="S63" s="144">
        <v>52</v>
      </c>
      <c r="T63" s="138">
        <f t="shared" si="10"/>
        <v>18</v>
      </c>
      <c r="U63" s="145">
        <v>1</v>
      </c>
      <c r="V63" s="146">
        <v>61</v>
      </c>
      <c r="W63" s="138">
        <f t="shared" si="18"/>
        <v>1</v>
      </c>
    </row>
    <row r="64" spans="1:23" s="127" customFormat="1" ht="13.65" customHeight="1" x14ac:dyDescent="0.3">
      <c r="A64" s="45">
        <v>53</v>
      </c>
      <c r="B64" s="47">
        <v>113</v>
      </c>
      <c r="C64" s="121" t="str">
        <f t="shared" si="11"/>
        <v>*CZE19980120</v>
      </c>
      <c r="D64" s="122" t="str">
        <f t="shared" si="12"/>
        <v xml:space="preserve">NOVÁK Jan </v>
      </c>
      <c r="E64" s="123" t="str">
        <f t="shared" si="13"/>
        <v xml:space="preserve">MIX3 - ČEZ CYKLO TEAM TÁBOR </v>
      </c>
      <c r="F64" s="124">
        <f t="shared" si="14"/>
        <v>9535</v>
      </c>
      <c r="G64" s="125" t="str">
        <f t="shared" si="15"/>
        <v>JUNIOR *</v>
      </c>
      <c r="H64" s="125" t="str">
        <f t="shared" si="16"/>
        <v>CPP</v>
      </c>
      <c r="I64" s="141">
        <v>7.8252314814814816E-2</v>
      </c>
      <c r="J64" s="70">
        <f t="shared" si="17"/>
        <v>0</v>
      </c>
      <c r="K64" s="70">
        <f t="shared" si="9"/>
        <v>0</v>
      </c>
      <c r="M64" s="70"/>
      <c r="N64" s="70"/>
      <c r="O64" s="70"/>
      <c r="P64" s="142">
        <f t="shared" si="7"/>
        <v>7.8252314814814816E-2</v>
      </c>
      <c r="R64" s="143">
        <v>113</v>
      </c>
      <c r="S64" s="144">
        <v>53</v>
      </c>
      <c r="T64" s="138">
        <f t="shared" si="10"/>
        <v>113</v>
      </c>
      <c r="U64" s="145">
        <v>1</v>
      </c>
      <c r="V64" s="146">
        <v>62</v>
      </c>
      <c r="W64" s="138">
        <f t="shared" si="18"/>
        <v>1</v>
      </c>
    </row>
    <row r="65" spans="1:23" s="127" customFormat="1" ht="13.65" customHeight="1" x14ac:dyDescent="0.3">
      <c r="A65" s="45">
        <v>54</v>
      </c>
      <c r="B65" s="47">
        <v>134</v>
      </c>
      <c r="C65" s="121" t="str">
        <f t="shared" si="11"/>
        <v>SVK19970107</v>
      </c>
      <c r="D65" s="122" t="str">
        <f t="shared" si="12"/>
        <v>JANIKOVSKÝ Lukáš</v>
      </c>
      <c r="E65" s="123" t="str">
        <f t="shared" si="13"/>
        <v>MIX5 - TJ SLAVIA SG TRENČÍN</v>
      </c>
      <c r="F65" s="124" t="str">
        <f t="shared" si="14"/>
        <v>S 7035</v>
      </c>
      <c r="G65" s="125" t="str">
        <f t="shared" si="15"/>
        <v>JUNIOR</v>
      </c>
      <c r="H65" s="125" t="str">
        <f t="shared" si="16"/>
        <v>SGT</v>
      </c>
      <c r="I65" s="141">
        <v>7.8252314814814816E-2</v>
      </c>
      <c r="J65" s="70">
        <f t="shared" si="17"/>
        <v>0</v>
      </c>
      <c r="K65" s="70">
        <f t="shared" si="9"/>
        <v>0</v>
      </c>
      <c r="M65" s="70"/>
      <c r="N65" s="70"/>
      <c r="O65" s="70"/>
      <c r="P65" s="142">
        <f t="shared" si="7"/>
        <v>7.8252314814814816E-2</v>
      </c>
      <c r="R65" s="143">
        <v>134</v>
      </c>
      <c r="S65" s="144">
        <v>54</v>
      </c>
      <c r="T65" s="138">
        <f t="shared" si="10"/>
        <v>134</v>
      </c>
      <c r="U65" s="145">
        <v>1</v>
      </c>
      <c r="V65" s="146">
        <v>63</v>
      </c>
      <c r="W65" s="138">
        <f t="shared" si="18"/>
        <v>1</v>
      </c>
    </row>
    <row r="66" spans="1:23" s="127" customFormat="1" ht="13.65" customHeight="1" x14ac:dyDescent="0.3">
      <c r="A66" s="45">
        <v>55</v>
      </c>
      <c r="B66" s="47">
        <v>60</v>
      </c>
      <c r="C66" s="121" t="str">
        <f t="shared" si="11"/>
        <v>*SVK19980115</v>
      </c>
      <c r="D66" s="122" t="str">
        <f t="shared" si="12"/>
        <v>BLAŠKOVIČ Richard</v>
      </c>
      <c r="E66" s="123" t="str">
        <f t="shared" si="13"/>
        <v>MIX1 - CK OLYMPIK TRNAVA</v>
      </c>
      <c r="F66" s="124" t="str">
        <f t="shared" si="14"/>
        <v>S 7280</v>
      </c>
      <c r="G66" s="125" t="str">
        <f t="shared" si="15"/>
        <v>JUNIOR *</v>
      </c>
      <c r="H66" s="125" t="str">
        <f t="shared" si="16"/>
        <v>SLZ</v>
      </c>
      <c r="I66" s="141">
        <v>7.8252314814814816E-2</v>
      </c>
      <c r="J66" s="70">
        <f t="shared" si="17"/>
        <v>0</v>
      </c>
      <c r="K66" s="70">
        <f t="shared" si="9"/>
        <v>0</v>
      </c>
      <c r="M66" s="70"/>
      <c r="N66" s="70"/>
      <c r="O66" s="70"/>
      <c r="P66" s="142">
        <f t="shared" si="7"/>
        <v>7.8252314814814816E-2</v>
      </c>
      <c r="R66" s="143">
        <v>60</v>
      </c>
      <c r="S66" s="144">
        <v>55</v>
      </c>
      <c r="T66" s="138">
        <f t="shared" si="10"/>
        <v>60</v>
      </c>
      <c r="U66" s="145">
        <v>1</v>
      </c>
      <c r="V66" s="146">
        <v>64</v>
      </c>
      <c r="W66" s="138">
        <f t="shared" si="18"/>
        <v>1</v>
      </c>
    </row>
    <row r="67" spans="1:23" s="127" customFormat="1" ht="13.65" customHeight="1" x14ac:dyDescent="0.3">
      <c r="A67" s="45">
        <v>56</v>
      </c>
      <c r="B67" s="47">
        <v>56</v>
      </c>
      <c r="C67" s="121" t="str">
        <f t="shared" si="11"/>
        <v>POL19970322</v>
      </c>
      <c r="D67" s="122" t="str">
        <f t="shared" si="12"/>
        <v>FOLTYN Maciej</v>
      </c>
      <c r="E67" s="123" t="str">
        <f t="shared" si="13"/>
        <v xml:space="preserve">MIX1 - GRUPA KOLARSKA GLIWICE </v>
      </c>
      <c r="F67" s="124" t="str">
        <f t="shared" si="14"/>
        <v>SLA300</v>
      </c>
      <c r="G67" s="125" t="str">
        <f t="shared" si="15"/>
        <v xml:space="preserve">JUNIOR </v>
      </c>
      <c r="H67" s="125" t="str">
        <f t="shared" si="16"/>
        <v>SLZ</v>
      </c>
      <c r="I67" s="141">
        <v>7.8252314814814816E-2</v>
      </c>
      <c r="J67" s="70">
        <f t="shared" si="17"/>
        <v>0</v>
      </c>
      <c r="K67" s="70">
        <f t="shared" si="9"/>
        <v>0</v>
      </c>
      <c r="M67" s="70"/>
      <c r="N67" s="70"/>
      <c r="O67" s="70"/>
      <c r="P67" s="142">
        <f t="shared" si="7"/>
        <v>7.8252314814814816E-2</v>
      </c>
      <c r="R67" s="143">
        <v>56</v>
      </c>
      <c r="S67" s="144">
        <v>56</v>
      </c>
      <c r="T67" s="138">
        <f t="shared" si="10"/>
        <v>56</v>
      </c>
      <c r="U67" s="145">
        <v>1</v>
      </c>
      <c r="V67" s="146">
        <v>65</v>
      </c>
      <c r="W67" s="138">
        <f t="shared" si="18"/>
        <v>0</v>
      </c>
    </row>
    <row r="68" spans="1:23" s="127" customFormat="1" ht="13.65" customHeight="1" x14ac:dyDescent="0.3">
      <c r="A68" s="45">
        <v>57</v>
      </c>
      <c r="B68" s="47">
        <v>126</v>
      </c>
      <c r="C68" s="121" t="str">
        <f t="shared" si="11"/>
        <v>CZE19970916</v>
      </c>
      <c r="D68" s="122" t="str">
        <f t="shared" si="12"/>
        <v xml:space="preserve">KUNT Lukáš </v>
      </c>
      <c r="E68" s="123" t="str">
        <f t="shared" si="13"/>
        <v xml:space="preserve">MIX4 - REMERX - MERIDA TEAM KOLÍN </v>
      </c>
      <c r="F68" s="124">
        <f t="shared" si="14"/>
        <v>14658</v>
      </c>
      <c r="G68" s="125" t="str">
        <f t="shared" si="15"/>
        <v xml:space="preserve">JUNIOR </v>
      </c>
      <c r="H68" s="125" t="str">
        <f t="shared" si="16"/>
        <v>KOO</v>
      </c>
      <c r="I68" s="141">
        <v>7.8252314814814816E-2</v>
      </c>
      <c r="J68" s="70">
        <f t="shared" si="17"/>
        <v>0</v>
      </c>
      <c r="K68" s="70">
        <f t="shared" si="9"/>
        <v>0</v>
      </c>
      <c r="M68" s="70"/>
      <c r="N68" s="70"/>
      <c r="O68" s="70"/>
      <c r="P68" s="142">
        <f t="shared" si="7"/>
        <v>7.8252314814814816E-2</v>
      </c>
      <c r="R68" s="143">
        <v>126</v>
      </c>
      <c r="S68" s="144">
        <v>57</v>
      </c>
      <c r="T68" s="138">
        <f t="shared" si="10"/>
        <v>126</v>
      </c>
      <c r="U68" s="145">
        <v>1</v>
      </c>
      <c r="V68" s="146">
        <v>66</v>
      </c>
      <c r="W68" s="138">
        <f t="shared" si="18"/>
        <v>1</v>
      </c>
    </row>
    <row r="69" spans="1:23" s="127" customFormat="1" ht="13.65" customHeight="1" x14ac:dyDescent="0.3">
      <c r="A69" s="45">
        <v>58</v>
      </c>
      <c r="B69" s="47">
        <v>162</v>
      </c>
      <c r="C69" s="121" t="str">
        <f t="shared" si="11"/>
        <v>AUT19970327</v>
      </c>
      <c r="D69" s="122" t="str">
        <f t="shared" si="12"/>
        <v>GURSCH Georg</v>
      </c>
      <c r="E69" s="123" t="str">
        <f t="shared" si="13"/>
        <v>LRV STEIERMARK</v>
      </c>
      <c r="F69" s="124">
        <f t="shared" si="14"/>
        <v>100312</v>
      </c>
      <c r="G69" s="125" t="str">
        <f t="shared" si="15"/>
        <v xml:space="preserve">JUNIOR </v>
      </c>
      <c r="H69" s="125" t="str">
        <f t="shared" si="16"/>
        <v>LRS</v>
      </c>
      <c r="I69" s="141">
        <v>7.8252314814814816E-2</v>
      </c>
      <c r="J69" s="70">
        <f t="shared" si="17"/>
        <v>0</v>
      </c>
      <c r="K69" s="70">
        <f t="shared" si="9"/>
        <v>0</v>
      </c>
      <c r="M69" s="70"/>
      <c r="N69" s="70"/>
      <c r="O69" s="70"/>
      <c r="P69" s="142">
        <f t="shared" si="7"/>
        <v>7.8252314814814816E-2</v>
      </c>
      <c r="R69" s="143">
        <v>162</v>
      </c>
      <c r="S69" s="144">
        <v>58</v>
      </c>
      <c r="T69" s="138">
        <f t="shared" si="10"/>
        <v>162</v>
      </c>
      <c r="U69" s="145">
        <v>1</v>
      </c>
      <c r="V69" s="146">
        <v>67</v>
      </c>
      <c r="W69" s="138">
        <f t="shared" si="18"/>
        <v>0</v>
      </c>
    </row>
    <row r="70" spans="1:23" s="127" customFormat="1" ht="13.65" customHeight="1" x14ac:dyDescent="0.3">
      <c r="A70" s="45">
        <v>59</v>
      </c>
      <c r="B70" s="47">
        <v>27</v>
      </c>
      <c r="C70" s="121" t="str">
        <f t="shared" si="11"/>
        <v>CZE19970516</v>
      </c>
      <c r="D70" s="122" t="str">
        <f t="shared" si="12"/>
        <v xml:space="preserve">ŠORM Jiří </v>
      </c>
      <c r="E70" s="123" t="str">
        <f t="shared" si="13"/>
        <v xml:space="preserve">MAPEI MERIDA KAŇKOVSKÝ </v>
      </c>
      <c r="F70" s="124">
        <f t="shared" si="14"/>
        <v>7794</v>
      </c>
      <c r="G70" s="125" t="str">
        <f t="shared" si="15"/>
        <v xml:space="preserve">JUNIOR </v>
      </c>
      <c r="H70" s="125" t="str">
        <f t="shared" si="16"/>
        <v>MAP</v>
      </c>
      <c r="I70" s="141">
        <v>7.8252314814814816E-2</v>
      </c>
      <c r="J70" s="70">
        <f t="shared" si="17"/>
        <v>0</v>
      </c>
      <c r="K70" s="70">
        <f t="shared" si="9"/>
        <v>0</v>
      </c>
      <c r="M70" s="70"/>
      <c r="N70" s="70"/>
      <c r="O70" s="70"/>
      <c r="P70" s="142">
        <f t="shared" si="7"/>
        <v>7.8252314814814816E-2</v>
      </c>
      <c r="R70" s="143">
        <v>27</v>
      </c>
      <c r="S70" s="144">
        <v>59</v>
      </c>
      <c r="T70" s="138">
        <f t="shared" si="10"/>
        <v>27</v>
      </c>
      <c r="U70" s="145">
        <v>1</v>
      </c>
      <c r="V70" s="146">
        <v>68</v>
      </c>
      <c r="W70" s="138">
        <f t="shared" si="18"/>
        <v>1</v>
      </c>
    </row>
    <row r="71" spans="1:23" s="127" customFormat="1" ht="13.65" customHeight="1" x14ac:dyDescent="0.3">
      <c r="A71" s="45">
        <v>60</v>
      </c>
      <c r="B71" s="47">
        <v>165</v>
      </c>
      <c r="C71" s="121" t="str">
        <f t="shared" si="11"/>
        <v>AUT19970502</v>
      </c>
      <c r="D71" s="122" t="str">
        <f t="shared" si="12"/>
        <v>RECKENDORFER Lukas</v>
      </c>
      <c r="E71" s="123" t="str">
        <f t="shared" si="13"/>
        <v>LRV STEIERMARK</v>
      </c>
      <c r="F71" s="124">
        <f t="shared" si="14"/>
        <v>100633</v>
      </c>
      <c r="G71" s="125" t="str">
        <f t="shared" si="15"/>
        <v xml:space="preserve">JUNIOR </v>
      </c>
      <c r="H71" s="125" t="str">
        <f t="shared" si="16"/>
        <v>LRS</v>
      </c>
      <c r="I71" s="141">
        <v>7.8252314814814816E-2</v>
      </c>
      <c r="J71" s="70">
        <f t="shared" si="17"/>
        <v>0</v>
      </c>
      <c r="K71" s="70">
        <f t="shared" si="9"/>
        <v>0</v>
      </c>
      <c r="M71" s="70"/>
      <c r="N71" s="70"/>
      <c r="O71" s="70"/>
      <c r="P71" s="142">
        <f t="shared" si="7"/>
        <v>7.8252314814814816E-2</v>
      </c>
      <c r="R71" s="143">
        <v>165</v>
      </c>
      <c r="S71" s="144">
        <v>60</v>
      </c>
      <c r="T71" s="138">
        <f t="shared" si="10"/>
        <v>165</v>
      </c>
      <c r="U71" s="145">
        <v>1</v>
      </c>
      <c r="V71" s="146">
        <v>69</v>
      </c>
      <c r="W71" s="138">
        <f t="shared" si="18"/>
        <v>0</v>
      </c>
    </row>
    <row r="72" spans="1:23" s="127" customFormat="1" ht="13.65" customHeight="1" x14ac:dyDescent="0.3">
      <c r="A72" s="45">
        <v>61</v>
      </c>
      <c r="B72" s="47">
        <v>85</v>
      </c>
      <c r="C72" s="121" t="str">
        <f t="shared" si="11"/>
        <v>GER19970211</v>
      </c>
      <c r="D72" s="122" t="str">
        <f t="shared" si="12"/>
        <v>URNAUER Lauritz</v>
      </c>
      <c r="E72" s="123" t="str">
        <f t="shared" si="13"/>
        <v>GERMAN NATIONAL TEAM</v>
      </c>
      <c r="F72" s="124" t="str">
        <f t="shared" si="14"/>
        <v>HAM062815</v>
      </c>
      <c r="G72" s="125" t="str">
        <f t="shared" si="15"/>
        <v xml:space="preserve">JUNIOR </v>
      </c>
      <c r="H72" s="125" t="str">
        <f t="shared" si="16"/>
        <v>GER</v>
      </c>
      <c r="I72" s="141">
        <v>7.8252314814814816E-2</v>
      </c>
      <c r="J72" s="70">
        <f t="shared" si="17"/>
        <v>0</v>
      </c>
      <c r="K72" s="70">
        <f t="shared" si="9"/>
        <v>0</v>
      </c>
      <c r="M72" s="70"/>
      <c r="N72" s="70"/>
      <c r="O72" s="70"/>
      <c r="P72" s="142">
        <f t="shared" si="7"/>
        <v>7.8252314814814816E-2</v>
      </c>
      <c r="R72" s="143">
        <v>85</v>
      </c>
      <c r="S72" s="144">
        <v>61</v>
      </c>
      <c r="T72" s="138">
        <f t="shared" si="10"/>
        <v>85</v>
      </c>
      <c r="U72" s="145">
        <v>1</v>
      </c>
      <c r="V72" s="146">
        <v>71</v>
      </c>
      <c r="W72" s="138">
        <f t="shared" si="18"/>
        <v>1</v>
      </c>
    </row>
    <row r="73" spans="1:23" s="127" customFormat="1" ht="13.65" customHeight="1" x14ac:dyDescent="0.3">
      <c r="A73" s="45">
        <v>62</v>
      </c>
      <c r="B73" s="47">
        <v>52</v>
      </c>
      <c r="C73" s="121" t="str">
        <f t="shared" si="11"/>
        <v>*CZE19980529</v>
      </c>
      <c r="D73" s="122" t="str">
        <f t="shared" si="12"/>
        <v>KREJČÍ Marian</v>
      </c>
      <c r="E73" s="123" t="str">
        <f t="shared" si="13"/>
        <v>MIX1 - ACK STARÁ VES NAD ONDŘEJNICÍ</v>
      </c>
      <c r="F73" s="124">
        <f t="shared" si="14"/>
        <v>20626</v>
      </c>
      <c r="G73" s="125" t="str">
        <f t="shared" si="15"/>
        <v>JUNIOR *</v>
      </c>
      <c r="H73" s="125" t="str">
        <f t="shared" si="16"/>
        <v>SLZ</v>
      </c>
      <c r="I73" s="141">
        <v>7.8252314814814816E-2</v>
      </c>
      <c r="J73" s="70">
        <f t="shared" si="17"/>
        <v>0</v>
      </c>
      <c r="K73" s="70">
        <f t="shared" si="9"/>
        <v>0</v>
      </c>
      <c r="M73" s="70"/>
      <c r="N73" s="70"/>
      <c r="O73" s="70"/>
      <c r="P73" s="142">
        <f t="shared" si="7"/>
        <v>7.8252314814814816E-2</v>
      </c>
      <c r="R73" s="143">
        <v>52</v>
      </c>
      <c r="S73" s="144">
        <v>62</v>
      </c>
      <c r="T73" s="138">
        <f t="shared" si="10"/>
        <v>52</v>
      </c>
      <c r="U73" s="145">
        <v>1</v>
      </c>
      <c r="V73" s="146">
        <v>72</v>
      </c>
      <c r="W73" s="138">
        <f t="shared" si="18"/>
        <v>1</v>
      </c>
    </row>
    <row r="74" spans="1:23" s="127" customFormat="1" ht="13.65" customHeight="1" x14ac:dyDescent="0.3">
      <c r="A74" s="45">
        <v>63</v>
      </c>
      <c r="B74" s="47">
        <v>12</v>
      </c>
      <c r="C74" s="121" t="str">
        <f t="shared" si="11"/>
        <v>GER19970725</v>
      </c>
      <c r="D74" s="122" t="str">
        <f t="shared" si="12"/>
        <v>MAGDEBURG Tobias</v>
      </c>
      <c r="E74" s="123" t="str">
        <f t="shared" si="13"/>
        <v>THÜRINGER RADSPORT VERBAND</v>
      </c>
      <c r="F74" s="124" t="str">
        <f t="shared" si="14"/>
        <v>THÜ173735</v>
      </c>
      <c r="G74" s="125" t="str">
        <f t="shared" si="15"/>
        <v xml:space="preserve">JUNIOR </v>
      </c>
      <c r="H74" s="125" t="str">
        <f t="shared" si="16"/>
        <v>THU</v>
      </c>
      <c r="I74" s="141">
        <v>7.8252314814814816E-2</v>
      </c>
      <c r="J74" s="70">
        <f t="shared" si="17"/>
        <v>0</v>
      </c>
      <c r="K74" s="70">
        <f t="shared" si="9"/>
        <v>0</v>
      </c>
      <c r="M74" s="70"/>
      <c r="N74" s="70"/>
      <c r="O74" s="70"/>
      <c r="P74" s="142">
        <f t="shared" si="7"/>
        <v>7.8252314814814816E-2</v>
      </c>
      <c r="R74" s="143">
        <v>12</v>
      </c>
      <c r="S74" s="144">
        <v>63</v>
      </c>
      <c r="T74" s="138">
        <f t="shared" si="10"/>
        <v>12</v>
      </c>
      <c r="U74" s="145">
        <v>1</v>
      </c>
      <c r="V74" s="146">
        <v>73</v>
      </c>
      <c r="W74" s="138">
        <f t="shared" si="18"/>
        <v>1</v>
      </c>
    </row>
    <row r="75" spans="1:23" s="127" customFormat="1" ht="13.65" customHeight="1" x14ac:dyDescent="0.3">
      <c r="A75" s="45">
        <v>64</v>
      </c>
      <c r="B75" s="47">
        <v>76</v>
      </c>
      <c r="C75" s="121" t="str">
        <f t="shared" si="11"/>
        <v>CZE19971201</v>
      </c>
      <c r="D75" s="122" t="str">
        <f t="shared" si="12"/>
        <v xml:space="preserve">ŠTIBINGR Matěj </v>
      </c>
      <c r="E75" s="123" t="str">
        <f t="shared" si="13"/>
        <v xml:space="preserve">MIX2  - SP KOLO LOAP SPECIALIZED </v>
      </c>
      <c r="F75" s="124">
        <f t="shared" si="14"/>
        <v>19527</v>
      </c>
      <c r="G75" s="125" t="str">
        <f t="shared" si="15"/>
        <v xml:space="preserve">JUNIOR </v>
      </c>
      <c r="H75" s="125" t="str">
        <f t="shared" si="16"/>
        <v>KOV</v>
      </c>
      <c r="I75" s="141">
        <v>7.8252314814814816E-2</v>
      </c>
      <c r="J75" s="70">
        <f t="shared" si="17"/>
        <v>0</v>
      </c>
      <c r="K75" s="70">
        <f t="shared" si="9"/>
        <v>0</v>
      </c>
      <c r="M75" s="70"/>
      <c r="N75" s="70"/>
      <c r="O75" s="70"/>
      <c r="P75" s="142">
        <f t="shared" si="7"/>
        <v>7.8252314814814816E-2</v>
      </c>
      <c r="R75" s="143">
        <v>76</v>
      </c>
      <c r="S75" s="144">
        <v>64</v>
      </c>
      <c r="T75" s="138">
        <f t="shared" si="10"/>
        <v>76</v>
      </c>
      <c r="U75" s="145">
        <v>1</v>
      </c>
      <c r="V75" s="146">
        <v>74</v>
      </c>
      <c r="W75" s="138">
        <f t="shared" si="18"/>
        <v>1</v>
      </c>
    </row>
    <row r="76" spans="1:23" s="127" customFormat="1" ht="13.65" customHeight="1" x14ac:dyDescent="0.3">
      <c r="A76" s="45">
        <v>65</v>
      </c>
      <c r="B76" s="47">
        <v>122</v>
      </c>
      <c r="C76" s="121" t="str">
        <f t="shared" ref="C76:C107" si="19">VLOOKUP(B76,STARTOVKA,2,0)</f>
        <v>*CZE19980914</v>
      </c>
      <c r="D76" s="122" t="str">
        <f t="shared" ref="D76:D107" si="20">VLOOKUP(B76,STARTOVKA,3,0)</f>
        <v xml:space="preserve">HRUBÝ Jakub </v>
      </c>
      <c r="E76" s="123" t="str">
        <f t="shared" ref="E76:E107" si="21">VLOOKUP(B76,STARTOVKA,4,0)</f>
        <v>MIX4 - KC KOOPERATIVA SG JABLONEC N.N</v>
      </c>
      <c r="F76" s="124">
        <f t="shared" ref="F76:F107" si="22">VLOOKUP(B76,STARTOVKA,5,0)</f>
        <v>19500</v>
      </c>
      <c r="G76" s="125" t="str">
        <f t="shared" ref="G76:G107" si="23">VLOOKUP(B76,STARTOVKA,6,0)</f>
        <v>JUNIOR *</v>
      </c>
      <c r="H76" s="125" t="str">
        <f t="shared" ref="H76:H107" si="24">VLOOKUP(B76,STARTOVKA,7,0)</f>
        <v>KOO</v>
      </c>
      <c r="I76" s="141">
        <v>7.8252314814814816E-2</v>
      </c>
      <c r="J76" s="70">
        <f t="shared" ref="J76:J94" si="25">I76-$I$12</f>
        <v>0</v>
      </c>
      <c r="K76" s="70">
        <f t="shared" si="9"/>
        <v>0</v>
      </c>
      <c r="M76" s="70"/>
      <c r="N76" s="70"/>
      <c r="O76" s="70"/>
      <c r="P76" s="142">
        <f t="shared" ref="P76:P94" si="26">I76-K76+O76</f>
        <v>7.8252314814814816E-2</v>
      </c>
      <c r="R76" s="143">
        <v>122</v>
      </c>
      <c r="S76" s="144">
        <v>65</v>
      </c>
      <c r="T76" s="138">
        <f t="shared" si="10"/>
        <v>122</v>
      </c>
      <c r="U76" s="145">
        <v>1</v>
      </c>
      <c r="V76" s="146">
        <v>75</v>
      </c>
      <c r="W76" s="138">
        <f t="shared" ref="W76:W107" si="27">SUMIF(T:T,V:V,U:U)</f>
        <v>1</v>
      </c>
    </row>
    <row r="77" spans="1:23" s="127" customFormat="1" ht="13.65" customHeight="1" x14ac:dyDescent="0.3">
      <c r="A77" s="45">
        <v>66</v>
      </c>
      <c r="B77" s="47">
        <v>138</v>
      </c>
      <c r="C77" s="121" t="str">
        <f t="shared" si="19"/>
        <v>POL19970608</v>
      </c>
      <c r="D77" s="122" t="str">
        <f t="shared" si="20"/>
        <v>BISKUP Bartosz</v>
      </c>
      <c r="E77" s="123" t="str">
        <f t="shared" si="21"/>
        <v>MIX5 - DSR AUTHOR GÓRNIK WAŁBRZYCH</v>
      </c>
      <c r="F77" s="124" t="str">
        <f t="shared" si="22"/>
        <v>DLS198</v>
      </c>
      <c r="G77" s="125" t="str">
        <f t="shared" si="23"/>
        <v xml:space="preserve">JUNIOR </v>
      </c>
      <c r="H77" s="125" t="str">
        <f t="shared" si="24"/>
        <v>SGT</v>
      </c>
      <c r="I77" s="141">
        <v>7.8252314814814816E-2</v>
      </c>
      <c r="J77" s="70">
        <f t="shared" si="25"/>
        <v>0</v>
      </c>
      <c r="K77" s="70">
        <f t="shared" ref="K77:K94" si="28">M77+N77</f>
        <v>0</v>
      </c>
      <c r="M77" s="70"/>
      <c r="N77" s="70"/>
      <c r="O77" s="70"/>
      <c r="P77" s="142">
        <f t="shared" si="26"/>
        <v>7.8252314814814816E-2</v>
      </c>
      <c r="R77" s="143">
        <v>138</v>
      </c>
      <c r="S77" s="144">
        <v>66</v>
      </c>
      <c r="T77" s="138">
        <f t="shared" ref="T77:T124" si="29">IF(R77&lt;&gt;"",R77,"")</f>
        <v>138</v>
      </c>
      <c r="U77" s="145">
        <v>1</v>
      </c>
      <c r="V77" s="146">
        <v>76</v>
      </c>
      <c r="W77" s="138">
        <f t="shared" si="27"/>
        <v>1</v>
      </c>
    </row>
    <row r="78" spans="1:23" s="127" customFormat="1" ht="13.65" customHeight="1" x14ac:dyDescent="0.3">
      <c r="A78" s="45">
        <v>67</v>
      </c>
      <c r="B78" s="47">
        <v>123</v>
      </c>
      <c r="C78" s="121" t="str">
        <f t="shared" si="19"/>
        <v>*CZE19980217</v>
      </c>
      <c r="D78" s="122" t="str">
        <f t="shared" si="20"/>
        <v xml:space="preserve">ŠIMŮNEK Adam </v>
      </c>
      <c r="E78" s="123" t="str">
        <f t="shared" si="21"/>
        <v>MIX4 - KC KOOPERATIVA SG JABLONEC N.N</v>
      </c>
      <c r="F78" s="124">
        <f t="shared" si="22"/>
        <v>20008</v>
      </c>
      <c r="G78" s="125" t="str">
        <f t="shared" si="23"/>
        <v>JUNIOR *</v>
      </c>
      <c r="H78" s="125" t="str">
        <f t="shared" si="24"/>
        <v>KOO</v>
      </c>
      <c r="I78" s="141">
        <v>7.8252314814814816E-2</v>
      </c>
      <c r="J78" s="70">
        <f t="shared" si="25"/>
        <v>0</v>
      </c>
      <c r="K78" s="70">
        <f t="shared" si="28"/>
        <v>0</v>
      </c>
      <c r="M78" s="70"/>
      <c r="N78" s="70"/>
      <c r="O78" s="70"/>
      <c r="P78" s="142">
        <f t="shared" si="26"/>
        <v>7.8252314814814816E-2</v>
      </c>
      <c r="R78" s="143">
        <v>123</v>
      </c>
      <c r="S78" s="144">
        <v>67</v>
      </c>
      <c r="T78" s="138">
        <f t="shared" si="29"/>
        <v>123</v>
      </c>
      <c r="U78" s="145">
        <v>1</v>
      </c>
      <c r="V78" s="146">
        <v>77</v>
      </c>
      <c r="W78" s="138">
        <f t="shared" si="27"/>
        <v>1</v>
      </c>
    </row>
    <row r="79" spans="1:23" s="127" customFormat="1" ht="13.65" customHeight="1" x14ac:dyDescent="0.3">
      <c r="A79" s="45">
        <v>68</v>
      </c>
      <c r="B79" s="47">
        <v>127</v>
      </c>
      <c r="C79" s="121" t="str">
        <f t="shared" si="19"/>
        <v>CZE19991001*</v>
      </c>
      <c r="D79" s="122" t="str">
        <f t="shared" si="20"/>
        <v xml:space="preserve">VANÍČEK Šimon </v>
      </c>
      <c r="E79" s="123" t="str">
        <f t="shared" si="21"/>
        <v xml:space="preserve">MIX4 - REMERX - MERIDA TEAM KOLÍN </v>
      </c>
      <c r="F79" s="124">
        <f t="shared" si="22"/>
        <v>10306</v>
      </c>
      <c r="G79" s="125" t="str">
        <f t="shared" si="23"/>
        <v>CADET</v>
      </c>
      <c r="H79" s="125" t="str">
        <f t="shared" si="24"/>
        <v>KOO</v>
      </c>
      <c r="I79" s="141">
        <v>7.8252314814814816E-2</v>
      </c>
      <c r="J79" s="70">
        <f t="shared" si="25"/>
        <v>0</v>
      </c>
      <c r="K79" s="70">
        <f t="shared" si="28"/>
        <v>0</v>
      </c>
      <c r="M79" s="70"/>
      <c r="N79" s="70"/>
      <c r="O79" s="70"/>
      <c r="P79" s="142">
        <f t="shared" si="26"/>
        <v>7.8252314814814816E-2</v>
      </c>
      <c r="R79" s="143">
        <v>127</v>
      </c>
      <c r="S79" s="144">
        <v>68</v>
      </c>
      <c r="T79" s="138">
        <f t="shared" si="29"/>
        <v>127</v>
      </c>
      <c r="U79" s="145">
        <v>1</v>
      </c>
      <c r="V79" s="146">
        <v>78</v>
      </c>
      <c r="W79" s="138">
        <f t="shared" si="27"/>
        <v>1</v>
      </c>
    </row>
    <row r="80" spans="1:23" s="127" customFormat="1" ht="13.65" customHeight="1" x14ac:dyDescent="0.3">
      <c r="A80" s="45">
        <v>69</v>
      </c>
      <c r="B80" s="47">
        <v>132</v>
      </c>
      <c r="C80" s="121" t="str">
        <f t="shared" si="19"/>
        <v>*SVK19981117</v>
      </c>
      <c r="D80" s="122" t="str">
        <f t="shared" si="20"/>
        <v>ZEMAN Alex</v>
      </c>
      <c r="E80" s="123" t="str">
        <f t="shared" si="21"/>
        <v>MIX5 - TJ SLAVIA SG TRENČÍN</v>
      </c>
      <c r="F80" s="124" t="str">
        <f t="shared" si="22"/>
        <v>S 6021</v>
      </c>
      <c r="G80" s="125" t="str">
        <f t="shared" si="23"/>
        <v>JUNIOR *</v>
      </c>
      <c r="H80" s="125" t="str">
        <f t="shared" si="24"/>
        <v>SGT</v>
      </c>
      <c r="I80" s="141">
        <v>7.8252314814814816E-2</v>
      </c>
      <c r="J80" s="70">
        <f t="shared" si="25"/>
        <v>0</v>
      </c>
      <c r="K80" s="70">
        <f t="shared" si="28"/>
        <v>0</v>
      </c>
      <c r="M80" s="70"/>
      <c r="N80" s="70"/>
      <c r="O80" s="70"/>
      <c r="P80" s="142">
        <f t="shared" si="26"/>
        <v>7.8252314814814816E-2</v>
      </c>
      <c r="R80" s="143">
        <v>132</v>
      </c>
      <c r="S80" s="144">
        <v>69</v>
      </c>
      <c r="T80" s="138">
        <f t="shared" si="29"/>
        <v>132</v>
      </c>
      <c r="U80" s="145">
        <v>1</v>
      </c>
      <c r="V80" s="146">
        <v>79</v>
      </c>
      <c r="W80" s="138">
        <f t="shared" si="27"/>
        <v>1</v>
      </c>
    </row>
    <row r="81" spans="1:23" s="127" customFormat="1" ht="13.65" customHeight="1" x14ac:dyDescent="0.3">
      <c r="A81" s="45">
        <v>70</v>
      </c>
      <c r="B81" s="47">
        <v>14</v>
      </c>
      <c r="C81" s="121" t="str">
        <f t="shared" si="19"/>
        <v>*GER19980425</v>
      </c>
      <c r="D81" s="122" t="str">
        <f t="shared" si="20"/>
        <v>WITTMANN Hannes</v>
      </c>
      <c r="E81" s="123" t="str">
        <f t="shared" si="21"/>
        <v>THÜRINGER RADSPORT VERBAND</v>
      </c>
      <c r="F81" s="124" t="str">
        <f t="shared" si="22"/>
        <v>THÜ173829</v>
      </c>
      <c r="G81" s="125" t="str">
        <f t="shared" si="23"/>
        <v>JUNIOR *</v>
      </c>
      <c r="H81" s="125" t="str">
        <f t="shared" si="24"/>
        <v>THU</v>
      </c>
      <c r="I81" s="141">
        <v>7.856481481481481E-2</v>
      </c>
      <c r="J81" s="70">
        <f t="shared" si="25"/>
        <v>3.1249999999999334E-4</v>
      </c>
      <c r="K81" s="70">
        <f t="shared" si="28"/>
        <v>0</v>
      </c>
      <c r="M81" s="70"/>
      <c r="N81" s="70"/>
      <c r="O81" s="70"/>
      <c r="P81" s="142">
        <f t="shared" si="26"/>
        <v>7.856481481481481E-2</v>
      </c>
      <c r="R81" s="143">
        <v>14</v>
      </c>
      <c r="S81" s="144">
        <v>70</v>
      </c>
      <c r="T81" s="138">
        <f t="shared" si="29"/>
        <v>14</v>
      </c>
      <c r="U81" s="145">
        <v>1</v>
      </c>
      <c r="V81" s="146">
        <v>81</v>
      </c>
      <c r="W81" s="138">
        <f t="shared" si="27"/>
        <v>1</v>
      </c>
    </row>
    <row r="82" spans="1:23" s="127" customFormat="1" ht="13.65" customHeight="1" x14ac:dyDescent="0.3">
      <c r="A82" s="45">
        <v>71</v>
      </c>
      <c r="B82" s="47">
        <v>16</v>
      </c>
      <c r="C82" s="121" t="str">
        <f t="shared" si="19"/>
        <v>*GER19980416</v>
      </c>
      <c r="D82" s="122" t="str">
        <f t="shared" si="20"/>
        <v>KÄßMANN Fabian</v>
      </c>
      <c r="E82" s="123" t="str">
        <f t="shared" si="21"/>
        <v>THÜRINGER RADSPORT VERBAND</v>
      </c>
      <c r="F82" s="124" t="str">
        <f t="shared" si="22"/>
        <v>THÜ173410</v>
      </c>
      <c r="G82" s="125" t="str">
        <f t="shared" si="23"/>
        <v>JUNIOR *</v>
      </c>
      <c r="H82" s="125" t="str">
        <f t="shared" si="24"/>
        <v>THU</v>
      </c>
      <c r="I82" s="141">
        <v>7.856481481481481E-2</v>
      </c>
      <c r="J82" s="70">
        <f t="shared" si="25"/>
        <v>3.1249999999999334E-4</v>
      </c>
      <c r="K82" s="70">
        <f t="shared" si="28"/>
        <v>0</v>
      </c>
      <c r="M82" s="70"/>
      <c r="N82" s="70"/>
      <c r="O82" s="70"/>
      <c r="P82" s="142">
        <f t="shared" si="26"/>
        <v>7.856481481481481E-2</v>
      </c>
      <c r="R82" s="143">
        <v>16</v>
      </c>
      <c r="S82" s="144">
        <v>71</v>
      </c>
      <c r="T82" s="138">
        <f t="shared" si="29"/>
        <v>16</v>
      </c>
      <c r="U82" s="145">
        <v>1</v>
      </c>
      <c r="V82" s="146">
        <v>82</v>
      </c>
      <c r="W82" s="138">
        <f t="shared" si="27"/>
        <v>1</v>
      </c>
    </row>
    <row r="83" spans="1:23" s="127" customFormat="1" ht="13.65" customHeight="1" x14ac:dyDescent="0.3">
      <c r="A83" s="45">
        <v>72</v>
      </c>
      <c r="B83" s="47">
        <v>66</v>
      </c>
      <c r="C83" s="121" t="str">
        <f t="shared" si="19"/>
        <v>BEL19991125*</v>
      </c>
      <c r="D83" s="122" t="str">
        <f t="shared" si="20"/>
        <v>VAN GILS Maxim</v>
      </c>
      <c r="E83" s="123" t="str">
        <f t="shared" si="21"/>
        <v>WAC TEAM HOBOKEN</v>
      </c>
      <c r="F83" s="124">
        <f t="shared" si="22"/>
        <v>53896</v>
      </c>
      <c r="G83" s="125" t="str">
        <f t="shared" si="23"/>
        <v>CADET</v>
      </c>
      <c r="H83" s="125" t="str">
        <f t="shared" si="24"/>
        <v>WAC</v>
      </c>
      <c r="I83" s="141">
        <v>7.856481481481481E-2</v>
      </c>
      <c r="J83" s="70">
        <f t="shared" si="25"/>
        <v>3.1249999999999334E-4</v>
      </c>
      <c r="K83" s="70">
        <f t="shared" si="28"/>
        <v>0</v>
      </c>
      <c r="M83" s="70"/>
      <c r="N83" s="70"/>
      <c r="O83" s="70"/>
      <c r="P83" s="142">
        <f t="shared" si="26"/>
        <v>7.856481481481481E-2</v>
      </c>
      <c r="R83" s="143">
        <v>66</v>
      </c>
      <c r="S83" s="144">
        <v>72</v>
      </c>
      <c r="T83" s="138">
        <f t="shared" si="29"/>
        <v>66</v>
      </c>
      <c r="U83" s="145">
        <v>1</v>
      </c>
      <c r="V83" s="146">
        <v>83</v>
      </c>
      <c r="W83" s="138">
        <f t="shared" si="27"/>
        <v>1</v>
      </c>
    </row>
    <row r="84" spans="1:23" s="127" customFormat="1" ht="13.65" customHeight="1" x14ac:dyDescent="0.3">
      <c r="A84" s="45">
        <v>73</v>
      </c>
      <c r="B84" s="47">
        <v>82</v>
      </c>
      <c r="C84" s="121" t="str">
        <f t="shared" si="19"/>
        <v>*GER19980319</v>
      </c>
      <c r="D84" s="122" t="str">
        <f t="shared" si="20"/>
        <v>MEILER Martin</v>
      </c>
      <c r="E84" s="123" t="str">
        <f t="shared" si="21"/>
        <v>GERMAN NATIONAL TEAM</v>
      </c>
      <c r="F84" s="124" t="str">
        <f t="shared" si="22"/>
        <v>BAY029445</v>
      </c>
      <c r="G84" s="125" t="str">
        <f t="shared" si="23"/>
        <v>JUNIOR *</v>
      </c>
      <c r="H84" s="125" t="str">
        <f t="shared" si="24"/>
        <v>GER</v>
      </c>
      <c r="I84" s="141">
        <v>7.856481481481481E-2</v>
      </c>
      <c r="J84" s="70">
        <f t="shared" si="25"/>
        <v>3.1249999999999334E-4</v>
      </c>
      <c r="K84" s="70">
        <f t="shared" si="28"/>
        <v>0</v>
      </c>
      <c r="M84" s="70"/>
      <c r="N84" s="70"/>
      <c r="O84" s="70"/>
      <c r="P84" s="142">
        <f t="shared" si="26"/>
        <v>7.856481481481481E-2</v>
      </c>
      <c r="R84" s="143">
        <v>82</v>
      </c>
      <c r="S84" s="144">
        <v>73</v>
      </c>
      <c r="T84" s="138">
        <f t="shared" si="29"/>
        <v>82</v>
      </c>
      <c r="U84" s="145">
        <v>1</v>
      </c>
      <c r="V84" s="146">
        <v>84</v>
      </c>
      <c r="W84" s="138">
        <f t="shared" si="27"/>
        <v>1</v>
      </c>
    </row>
    <row r="85" spans="1:23" s="127" customFormat="1" ht="13.65" customHeight="1" x14ac:dyDescent="0.3">
      <c r="A85" s="45">
        <v>74</v>
      </c>
      <c r="B85" s="47">
        <v>166</v>
      </c>
      <c r="C85" s="121" t="str">
        <f t="shared" si="19"/>
        <v>AUT19971029</v>
      </c>
      <c r="D85" s="122" t="str">
        <f t="shared" si="20"/>
        <v>WAIBEL Christian</v>
      </c>
      <c r="E85" s="123" t="str">
        <f t="shared" si="21"/>
        <v>LRV STEIERMARK</v>
      </c>
      <c r="F85" s="124">
        <f t="shared" si="22"/>
        <v>100327</v>
      </c>
      <c r="G85" s="125" t="str">
        <f t="shared" si="23"/>
        <v xml:space="preserve">JUNIOR </v>
      </c>
      <c r="H85" s="125" t="str">
        <f t="shared" si="24"/>
        <v>LRS</v>
      </c>
      <c r="I85" s="141">
        <v>7.856481481481481E-2</v>
      </c>
      <c r="J85" s="70">
        <f t="shared" si="25"/>
        <v>3.1249999999999334E-4</v>
      </c>
      <c r="K85" s="70">
        <f t="shared" si="28"/>
        <v>0</v>
      </c>
      <c r="M85" s="70"/>
      <c r="N85" s="70"/>
      <c r="O85" s="70"/>
      <c r="P85" s="142">
        <f t="shared" si="26"/>
        <v>7.856481481481481E-2</v>
      </c>
      <c r="R85" s="143">
        <v>166</v>
      </c>
      <c r="S85" s="144">
        <v>74</v>
      </c>
      <c r="T85" s="138">
        <f t="shared" si="29"/>
        <v>166</v>
      </c>
      <c r="U85" s="145">
        <v>1</v>
      </c>
      <c r="V85" s="146">
        <v>85</v>
      </c>
      <c r="W85" s="138">
        <f t="shared" si="27"/>
        <v>1</v>
      </c>
    </row>
    <row r="86" spans="1:23" s="127" customFormat="1" ht="13.65" customHeight="1" x14ac:dyDescent="0.3">
      <c r="A86" s="45">
        <v>75</v>
      </c>
      <c r="B86" s="47">
        <v>22</v>
      </c>
      <c r="C86" s="121" t="str">
        <f t="shared" si="19"/>
        <v>CZE19970821</v>
      </c>
      <c r="D86" s="122" t="str">
        <f t="shared" si="20"/>
        <v xml:space="preserve">LAŠTŮVKA David </v>
      </c>
      <c r="E86" s="123" t="str">
        <f t="shared" si="21"/>
        <v xml:space="preserve">MAPEI MERIDA KAŇKOVSKÝ </v>
      </c>
      <c r="F86" s="124">
        <f t="shared" si="22"/>
        <v>20242</v>
      </c>
      <c r="G86" s="125" t="str">
        <f t="shared" si="23"/>
        <v xml:space="preserve">JUNIOR </v>
      </c>
      <c r="H86" s="125" t="str">
        <f t="shared" si="24"/>
        <v>MAP</v>
      </c>
      <c r="I86" s="141">
        <v>7.856481481481481E-2</v>
      </c>
      <c r="J86" s="70">
        <f t="shared" si="25"/>
        <v>3.1249999999999334E-4</v>
      </c>
      <c r="K86" s="70">
        <f t="shared" si="28"/>
        <v>0</v>
      </c>
      <c r="M86" s="70"/>
      <c r="N86" s="70"/>
      <c r="O86" s="70"/>
      <c r="P86" s="142">
        <f t="shared" si="26"/>
        <v>7.856481481481481E-2</v>
      </c>
      <c r="R86" s="143">
        <v>22</v>
      </c>
      <c r="S86" s="144">
        <v>75</v>
      </c>
      <c r="T86" s="138">
        <f t="shared" si="29"/>
        <v>22</v>
      </c>
      <c r="U86" s="145">
        <v>1</v>
      </c>
      <c r="V86" s="146">
        <v>86</v>
      </c>
      <c r="W86" s="138">
        <f t="shared" si="27"/>
        <v>1</v>
      </c>
    </row>
    <row r="87" spans="1:23" s="127" customFormat="1" ht="13.65" customHeight="1" x14ac:dyDescent="0.3">
      <c r="A87" s="45">
        <v>76</v>
      </c>
      <c r="B87" s="47">
        <v>104</v>
      </c>
      <c r="C87" s="121" t="str">
        <f t="shared" si="19"/>
        <v>SVK19970514</v>
      </c>
      <c r="D87" s="122" t="str">
        <f t="shared" si="20"/>
        <v>TRUBAN Matej</v>
      </c>
      <c r="E87" s="123" t="str">
        <f t="shared" si="21"/>
        <v>SLOVAK CYCLING FEDERATION</v>
      </c>
      <c r="F87" s="124" t="str">
        <f t="shared" si="22"/>
        <v>S 4238</v>
      </c>
      <c r="G87" s="125" t="str">
        <f t="shared" si="23"/>
        <v xml:space="preserve">JUNIOR </v>
      </c>
      <c r="H87" s="125" t="str">
        <f t="shared" si="24"/>
        <v>SVK</v>
      </c>
      <c r="I87" s="141">
        <v>7.856481481481481E-2</v>
      </c>
      <c r="J87" s="70">
        <f t="shared" si="25"/>
        <v>3.1249999999999334E-4</v>
      </c>
      <c r="K87" s="70">
        <f t="shared" si="28"/>
        <v>0</v>
      </c>
      <c r="M87" s="70"/>
      <c r="N87" s="70"/>
      <c r="O87" s="70"/>
      <c r="P87" s="142">
        <f t="shared" si="26"/>
        <v>7.856481481481481E-2</v>
      </c>
      <c r="R87" s="143">
        <v>104</v>
      </c>
      <c r="S87" s="144">
        <v>76</v>
      </c>
      <c r="T87" s="138">
        <f t="shared" si="29"/>
        <v>104</v>
      </c>
      <c r="U87" s="145">
        <v>1</v>
      </c>
      <c r="V87" s="146">
        <v>91</v>
      </c>
      <c r="W87" s="138">
        <f t="shared" si="27"/>
        <v>1</v>
      </c>
    </row>
    <row r="88" spans="1:23" s="127" customFormat="1" ht="13.65" customHeight="1" x14ac:dyDescent="0.3">
      <c r="A88" s="45">
        <v>77</v>
      </c>
      <c r="B88" s="47">
        <v>72</v>
      </c>
      <c r="C88" s="121" t="str">
        <f t="shared" si="19"/>
        <v>CZE19971221</v>
      </c>
      <c r="D88" s="122" t="str">
        <f t="shared" si="20"/>
        <v xml:space="preserve">KRUMPHANZL Matyáš </v>
      </c>
      <c r="E88" s="123" t="str">
        <f t="shared" si="21"/>
        <v xml:space="preserve">MIX2  - SUPERIOR BRENTJENS MTB TEAM </v>
      </c>
      <c r="F88" s="124">
        <f t="shared" si="22"/>
        <v>16722</v>
      </c>
      <c r="G88" s="125" t="str">
        <f t="shared" si="23"/>
        <v xml:space="preserve">JUNIOR </v>
      </c>
      <c r="H88" s="125" t="str">
        <f t="shared" si="24"/>
        <v>KOV</v>
      </c>
      <c r="I88" s="141">
        <v>7.856481481481481E-2</v>
      </c>
      <c r="J88" s="70">
        <f t="shared" si="25"/>
        <v>3.1249999999999334E-4</v>
      </c>
      <c r="K88" s="70">
        <f t="shared" si="28"/>
        <v>0</v>
      </c>
      <c r="M88" s="70"/>
      <c r="N88" s="70"/>
      <c r="O88" s="70"/>
      <c r="P88" s="142">
        <f t="shared" si="26"/>
        <v>7.856481481481481E-2</v>
      </c>
      <c r="R88" s="143">
        <v>72</v>
      </c>
      <c r="S88" s="144">
        <v>77</v>
      </c>
      <c r="T88" s="138">
        <f t="shared" si="29"/>
        <v>72</v>
      </c>
      <c r="U88" s="145">
        <v>1</v>
      </c>
      <c r="V88" s="146">
        <v>92</v>
      </c>
      <c r="W88" s="138">
        <f t="shared" si="27"/>
        <v>1</v>
      </c>
    </row>
    <row r="89" spans="1:23" s="127" customFormat="1" ht="13.65" customHeight="1" x14ac:dyDescent="0.3">
      <c r="A89" s="45">
        <v>78</v>
      </c>
      <c r="B89" s="47">
        <v>62</v>
      </c>
      <c r="C89" s="121" t="str">
        <f t="shared" si="19"/>
        <v>BEL19970621</v>
      </c>
      <c r="D89" s="122" t="str">
        <f t="shared" si="20"/>
        <v>DEKKERS Robin</v>
      </c>
      <c r="E89" s="123" t="str">
        <f t="shared" si="21"/>
        <v>WAC TEAM HOBOKEN</v>
      </c>
      <c r="F89" s="124">
        <f t="shared" si="22"/>
        <v>55822</v>
      </c>
      <c r="G89" s="125" t="str">
        <f t="shared" si="23"/>
        <v xml:space="preserve">JUNIOR </v>
      </c>
      <c r="H89" s="125" t="str">
        <f t="shared" si="24"/>
        <v>WAC</v>
      </c>
      <c r="I89" s="141">
        <v>7.885416666666667E-2</v>
      </c>
      <c r="J89" s="70">
        <f t="shared" si="25"/>
        <v>6.0185185185185341E-4</v>
      </c>
      <c r="K89" s="70">
        <f t="shared" si="28"/>
        <v>0</v>
      </c>
      <c r="M89" s="70"/>
      <c r="N89" s="70"/>
      <c r="O89" s="70"/>
      <c r="P89" s="142">
        <f t="shared" si="26"/>
        <v>7.885416666666667E-2</v>
      </c>
      <c r="R89" s="143">
        <v>62</v>
      </c>
      <c r="S89" s="144">
        <v>78</v>
      </c>
      <c r="T89" s="138">
        <f t="shared" si="29"/>
        <v>62</v>
      </c>
      <c r="U89" s="145">
        <v>1</v>
      </c>
      <c r="V89" s="146">
        <v>93</v>
      </c>
      <c r="W89" s="138">
        <f t="shared" si="27"/>
        <v>1</v>
      </c>
    </row>
    <row r="90" spans="1:23" s="127" customFormat="1" ht="13.65" customHeight="1" x14ac:dyDescent="0.3">
      <c r="A90" s="45">
        <v>79</v>
      </c>
      <c r="B90" s="47">
        <v>33</v>
      </c>
      <c r="C90" s="121" t="str">
        <f t="shared" si="19"/>
        <v>*GER19980912</v>
      </c>
      <c r="D90" s="122" t="str">
        <f t="shared" si="20"/>
        <v>CLAUSS Marc</v>
      </c>
      <c r="E90" s="123" t="str">
        <f t="shared" si="21"/>
        <v>JUNIOREN SCHWALBE TEAM SACHSEN</v>
      </c>
      <c r="F90" s="124" t="str">
        <f t="shared" si="22"/>
        <v>SAC135276</v>
      </c>
      <c r="G90" s="125" t="str">
        <f t="shared" si="23"/>
        <v>JUNIOR *</v>
      </c>
      <c r="H90" s="125" t="str">
        <f t="shared" si="24"/>
        <v>SAC</v>
      </c>
      <c r="I90" s="141">
        <v>7.885416666666667E-2</v>
      </c>
      <c r="J90" s="70">
        <f t="shared" si="25"/>
        <v>6.0185185185185341E-4</v>
      </c>
      <c r="K90" s="70">
        <f t="shared" si="28"/>
        <v>0</v>
      </c>
      <c r="M90" s="70"/>
      <c r="N90" s="70"/>
      <c r="O90" s="70"/>
      <c r="P90" s="142">
        <f t="shared" si="26"/>
        <v>7.885416666666667E-2</v>
      </c>
      <c r="R90" s="143">
        <v>33</v>
      </c>
      <c r="S90" s="144">
        <v>79</v>
      </c>
      <c r="T90" s="138">
        <f t="shared" si="29"/>
        <v>33</v>
      </c>
      <c r="U90" s="145">
        <v>1</v>
      </c>
      <c r="V90" s="146">
        <v>94</v>
      </c>
      <c r="W90" s="138">
        <f t="shared" si="27"/>
        <v>1</v>
      </c>
    </row>
    <row r="91" spans="1:23" s="127" customFormat="1" ht="13.65" customHeight="1" x14ac:dyDescent="0.3">
      <c r="A91" s="45">
        <v>80</v>
      </c>
      <c r="B91" s="47">
        <v>157</v>
      </c>
      <c r="C91" s="121" t="str">
        <f t="shared" si="19"/>
        <v>*AUT19981224</v>
      </c>
      <c r="D91" s="122" t="str">
        <f t="shared" si="20"/>
        <v>STIDL Timo</v>
      </c>
      <c r="E91" s="123" t="str">
        <f t="shared" si="21"/>
        <v>MIX7 - RLM WIEN (RADLEISTUNGSMODELL WIEN)</v>
      </c>
      <c r="F91" s="124">
        <f t="shared" si="22"/>
        <v>100224</v>
      </c>
      <c r="G91" s="125" t="str">
        <f t="shared" si="23"/>
        <v>JUNIOR *</v>
      </c>
      <c r="H91" s="125" t="str">
        <f t="shared" si="24"/>
        <v>RLM</v>
      </c>
      <c r="I91" s="141">
        <v>7.885416666666667E-2</v>
      </c>
      <c r="J91" s="70">
        <f t="shared" si="25"/>
        <v>6.0185185185185341E-4</v>
      </c>
      <c r="K91" s="70">
        <f t="shared" si="28"/>
        <v>0</v>
      </c>
      <c r="M91" s="70"/>
      <c r="N91" s="70"/>
      <c r="O91" s="70"/>
      <c r="P91" s="142">
        <f t="shared" si="26"/>
        <v>7.885416666666667E-2</v>
      </c>
      <c r="R91" s="143">
        <v>157</v>
      </c>
      <c r="S91" s="144">
        <v>80</v>
      </c>
      <c r="T91" s="138">
        <f t="shared" si="29"/>
        <v>157</v>
      </c>
      <c r="U91" s="145">
        <v>1</v>
      </c>
      <c r="V91" s="146">
        <v>95</v>
      </c>
      <c r="W91" s="138">
        <f t="shared" si="27"/>
        <v>1</v>
      </c>
    </row>
    <row r="92" spans="1:23" s="127" customFormat="1" ht="13.65" customHeight="1" x14ac:dyDescent="0.3">
      <c r="A92" s="45">
        <v>81</v>
      </c>
      <c r="B92" s="47">
        <v>61</v>
      </c>
      <c r="C92" s="121" t="str">
        <f t="shared" si="19"/>
        <v>*BEL19980425</v>
      </c>
      <c r="D92" s="122" t="str">
        <f t="shared" si="20"/>
        <v>COMMISSARIS Lucas</v>
      </c>
      <c r="E92" s="123" t="str">
        <f t="shared" si="21"/>
        <v>WAC TEAM HOBOKEN</v>
      </c>
      <c r="F92" s="124">
        <f t="shared" si="22"/>
        <v>57573</v>
      </c>
      <c r="G92" s="125" t="str">
        <f t="shared" si="23"/>
        <v>JUNIOR *</v>
      </c>
      <c r="H92" s="125" t="str">
        <f t="shared" si="24"/>
        <v>WAC</v>
      </c>
      <c r="I92" s="141">
        <v>7.885416666666667E-2</v>
      </c>
      <c r="J92" s="70">
        <f t="shared" si="25"/>
        <v>6.0185185185185341E-4</v>
      </c>
      <c r="K92" s="70">
        <f t="shared" si="28"/>
        <v>0</v>
      </c>
      <c r="M92" s="70"/>
      <c r="N92" s="70"/>
      <c r="O92" s="70"/>
      <c r="P92" s="142">
        <f t="shared" si="26"/>
        <v>7.885416666666667E-2</v>
      </c>
      <c r="R92" s="143">
        <v>61</v>
      </c>
      <c r="S92" s="144">
        <v>81</v>
      </c>
      <c r="T92" s="138">
        <f t="shared" si="29"/>
        <v>61</v>
      </c>
      <c r="U92" s="145">
        <v>1</v>
      </c>
      <c r="V92" s="146">
        <v>96</v>
      </c>
      <c r="W92" s="138">
        <f t="shared" si="27"/>
        <v>1</v>
      </c>
    </row>
    <row r="93" spans="1:23" s="127" customFormat="1" ht="13.65" customHeight="1" x14ac:dyDescent="0.3">
      <c r="A93" s="45">
        <v>82</v>
      </c>
      <c r="B93" s="47">
        <v>64</v>
      </c>
      <c r="C93" s="121" t="str">
        <f t="shared" si="19"/>
        <v>*BEL19980519</v>
      </c>
      <c r="D93" s="122" t="str">
        <f t="shared" si="20"/>
        <v>KONINGS Frits</v>
      </c>
      <c r="E93" s="123" t="str">
        <f t="shared" si="21"/>
        <v>WAC TEAM HOBOKEN</v>
      </c>
      <c r="F93" s="124">
        <f t="shared" si="22"/>
        <v>49059</v>
      </c>
      <c r="G93" s="125" t="str">
        <f t="shared" si="23"/>
        <v>JUNIOR *</v>
      </c>
      <c r="H93" s="125" t="str">
        <f t="shared" si="24"/>
        <v>WAC</v>
      </c>
      <c r="I93" s="141">
        <v>7.885416666666667E-2</v>
      </c>
      <c r="J93" s="70">
        <f t="shared" si="25"/>
        <v>6.0185185185185341E-4</v>
      </c>
      <c r="K93" s="70">
        <f t="shared" si="28"/>
        <v>0</v>
      </c>
      <c r="M93" s="70"/>
      <c r="N93" s="70"/>
      <c r="O93" s="70"/>
      <c r="P93" s="142">
        <f t="shared" si="26"/>
        <v>7.885416666666667E-2</v>
      </c>
      <c r="R93" s="143">
        <v>64</v>
      </c>
      <c r="S93" s="144">
        <v>82</v>
      </c>
      <c r="T93" s="138">
        <f t="shared" si="29"/>
        <v>64</v>
      </c>
      <c r="U93" s="145">
        <v>1</v>
      </c>
      <c r="V93" s="146">
        <v>101</v>
      </c>
      <c r="W93" s="138">
        <f t="shared" si="27"/>
        <v>1</v>
      </c>
    </row>
    <row r="94" spans="1:23" s="127" customFormat="1" ht="13.65" customHeight="1" x14ac:dyDescent="0.3">
      <c r="A94" s="45">
        <v>83</v>
      </c>
      <c r="B94" s="47">
        <v>32</v>
      </c>
      <c r="C94" s="121" t="str">
        <f t="shared" si="19"/>
        <v>*GER19980114</v>
      </c>
      <c r="D94" s="122" t="str">
        <f t="shared" si="20"/>
        <v>BONNES Julius</v>
      </c>
      <c r="E94" s="123" t="str">
        <f t="shared" si="21"/>
        <v>JUNIOREN SCHWALBE TEAM SACHSEN</v>
      </c>
      <c r="F94" s="124" t="str">
        <f t="shared" si="22"/>
        <v>SAC142150</v>
      </c>
      <c r="G94" s="125" t="str">
        <f t="shared" si="23"/>
        <v>JUNIOR *</v>
      </c>
      <c r="H94" s="125" t="str">
        <f t="shared" si="24"/>
        <v>SAC</v>
      </c>
      <c r="I94" s="141">
        <v>7.8912037037037031E-2</v>
      </c>
      <c r="J94" s="70">
        <f t="shared" si="25"/>
        <v>6.5972222222221433E-4</v>
      </c>
      <c r="K94" s="70">
        <f t="shared" si="28"/>
        <v>0</v>
      </c>
      <c r="M94" s="70"/>
      <c r="N94" s="70"/>
      <c r="O94" s="70"/>
      <c r="P94" s="142">
        <f t="shared" si="26"/>
        <v>7.8912037037037031E-2</v>
      </c>
      <c r="R94" s="333">
        <v>32</v>
      </c>
      <c r="S94" s="144">
        <v>83</v>
      </c>
      <c r="T94" s="138">
        <f t="shared" si="29"/>
        <v>32</v>
      </c>
      <c r="U94" s="145">
        <v>1</v>
      </c>
      <c r="V94" s="146">
        <v>102</v>
      </c>
      <c r="W94" s="138">
        <f t="shared" si="27"/>
        <v>1</v>
      </c>
    </row>
    <row r="95" spans="1:23" s="127" customFormat="1" ht="13.65" customHeight="1" x14ac:dyDescent="0.3">
      <c r="A95" s="45">
        <v>84</v>
      </c>
      <c r="B95" s="47">
        <v>91</v>
      </c>
      <c r="C95" s="121" t="str">
        <f t="shared" si="19"/>
        <v>*GER19981104</v>
      </c>
      <c r="D95" s="122" t="str">
        <f t="shared" si="20"/>
        <v>BRANDT Nicolas</v>
      </c>
      <c r="E95" s="123" t="str">
        <f t="shared" si="21"/>
        <v>RG BERLIN</v>
      </c>
      <c r="F95" s="124" t="str">
        <f t="shared" si="22"/>
        <v>BER034971</v>
      </c>
      <c r="G95" s="125" t="str">
        <f t="shared" si="23"/>
        <v>JUNIOR *</v>
      </c>
      <c r="H95" s="125" t="str">
        <f t="shared" si="24"/>
        <v>RGB</v>
      </c>
      <c r="I95" s="141">
        <v>8.0497685185185186E-2</v>
      </c>
      <c r="J95" s="70">
        <f t="shared" ref="J95:J126" si="30">I95-$I$12</f>
        <v>2.2453703703703698E-3</v>
      </c>
      <c r="K95" s="70">
        <f t="shared" ref="K95:K137" si="31">M106+N106</f>
        <v>0</v>
      </c>
      <c r="M95" s="70"/>
      <c r="N95" s="70"/>
      <c r="O95" s="70"/>
      <c r="P95" s="142">
        <f t="shared" ref="P95:P105" si="32">I138-K138+O95</f>
        <v>0.10581018518518519</v>
      </c>
      <c r="R95" s="143">
        <v>115</v>
      </c>
      <c r="S95" s="144">
        <v>84</v>
      </c>
      <c r="T95" s="138">
        <f t="shared" si="29"/>
        <v>115</v>
      </c>
      <c r="U95" s="145">
        <v>1</v>
      </c>
      <c r="V95" s="146">
        <v>103</v>
      </c>
      <c r="W95" s="138">
        <f t="shared" si="27"/>
        <v>1</v>
      </c>
    </row>
    <row r="96" spans="1:23" s="127" customFormat="1" ht="13.65" customHeight="1" x14ac:dyDescent="0.3">
      <c r="A96" s="45">
        <v>85</v>
      </c>
      <c r="B96" s="47">
        <v>135</v>
      </c>
      <c r="C96" s="121" t="str">
        <f t="shared" si="19"/>
        <v>SVK19970207</v>
      </c>
      <c r="D96" s="122" t="str">
        <f t="shared" si="20"/>
        <v>GAVENDA Miroslav</v>
      </c>
      <c r="E96" s="123" t="str">
        <f t="shared" si="21"/>
        <v>MIX5 - TJ SLAVIA SG TRENČÍN</v>
      </c>
      <c r="F96" s="124" t="str">
        <f t="shared" si="22"/>
        <v>S 6366</v>
      </c>
      <c r="G96" s="125" t="str">
        <f t="shared" si="23"/>
        <v>JUNIOR</v>
      </c>
      <c r="H96" s="125" t="str">
        <f t="shared" si="24"/>
        <v>SGT</v>
      </c>
      <c r="I96" s="141">
        <v>8.0497685185185186E-2</v>
      </c>
      <c r="J96" s="70">
        <f t="shared" si="30"/>
        <v>2.2453703703703698E-3</v>
      </c>
      <c r="K96" s="70">
        <f t="shared" si="31"/>
        <v>0</v>
      </c>
      <c r="M96" s="70"/>
      <c r="N96" s="70"/>
      <c r="O96" s="70"/>
      <c r="P96" s="142">
        <f t="shared" si="32"/>
        <v>0.10581018518518519</v>
      </c>
      <c r="R96" s="143">
        <v>96</v>
      </c>
      <c r="S96" s="144">
        <v>85</v>
      </c>
      <c r="T96" s="138">
        <f t="shared" si="29"/>
        <v>96</v>
      </c>
      <c r="U96" s="145">
        <v>1</v>
      </c>
      <c r="V96" s="146">
        <v>104</v>
      </c>
      <c r="W96" s="138">
        <f t="shared" si="27"/>
        <v>1</v>
      </c>
    </row>
    <row r="97" spans="1:23" s="127" customFormat="1" ht="13.65" customHeight="1" x14ac:dyDescent="0.3">
      <c r="A97" s="45">
        <v>86</v>
      </c>
      <c r="B97" s="47">
        <v>133</v>
      </c>
      <c r="C97" s="121" t="str">
        <f t="shared" si="19"/>
        <v>*SVK19980324</v>
      </c>
      <c r="D97" s="122" t="str">
        <f t="shared" si="20"/>
        <v>KOVÁČ Milan</v>
      </c>
      <c r="E97" s="123" t="str">
        <f t="shared" si="21"/>
        <v>MIX5 - TJ SLAVIA SG TRENČÍN</v>
      </c>
      <c r="F97" s="124" t="str">
        <f t="shared" si="22"/>
        <v>S 5908</v>
      </c>
      <c r="G97" s="125" t="str">
        <f t="shared" si="23"/>
        <v>JUNIOR *</v>
      </c>
      <c r="H97" s="125" t="str">
        <f t="shared" si="24"/>
        <v>SGT</v>
      </c>
      <c r="I97" s="141">
        <v>8.0497685185185186E-2</v>
      </c>
      <c r="J97" s="70">
        <f t="shared" si="30"/>
        <v>2.2453703703703698E-3</v>
      </c>
      <c r="K97" s="70">
        <f t="shared" si="31"/>
        <v>0</v>
      </c>
      <c r="M97" s="70"/>
      <c r="N97" s="70"/>
      <c r="O97" s="70"/>
      <c r="P97" s="142">
        <f t="shared" si="32"/>
        <v>0.10581018518518519</v>
      </c>
      <c r="R97" s="143">
        <v>91</v>
      </c>
      <c r="S97" s="144">
        <v>86</v>
      </c>
      <c r="T97" s="138">
        <f t="shared" si="29"/>
        <v>91</v>
      </c>
      <c r="U97" s="145">
        <v>1</v>
      </c>
      <c r="V97" s="146">
        <v>105</v>
      </c>
      <c r="W97" s="138">
        <f t="shared" si="27"/>
        <v>1</v>
      </c>
    </row>
    <row r="98" spans="1:23" s="127" customFormat="1" ht="13.65" customHeight="1" x14ac:dyDescent="0.3">
      <c r="A98" s="45">
        <v>87</v>
      </c>
      <c r="B98" s="47">
        <v>38</v>
      </c>
      <c r="C98" s="121" t="str">
        <f t="shared" si="19"/>
        <v>*GER19980430</v>
      </c>
      <c r="D98" s="122" t="str">
        <f t="shared" si="20"/>
        <v>SCHNEIDER Jonas</v>
      </c>
      <c r="E98" s="123" t="str">
        <f t="shared" si="21"/>
        <v>JUNIOREN SCHWALBE TEAM SACHSEN</v>
      </c>
      <c r="F98" s="124" t="str">
        <f t="shared" si="22"/>
        <v>SAC135307</v>
      </c>
      <c r="G98" s="125" t="str">
        <f t="shared" si="23"/>
        <v>JUNIOR *</v>
      </c>
      <c r="H98" s="125" t="str">
        <f t="shared" si="24"/>
        <v>SAC</v>
      </c>
      <c r="I98" s="141">
        <v>8.1203703703703708E-2</v>
      </c>
      <c r="J98" s="70">
        <f t="shared" si="30"/>
        <v>2.9513888888888923E-3</v>
      </c>
      <c r="K98" s="70">
        <f t="shared" si="31"/>
        <v>0</v>
      </c>
      <c r="M98" s="70"/>
      <c r="N98" s="70"/>
      <c r="O98" s="70"/>
      <c r="P98" s="142">
        <f t="shared" si="32"/>
        <v>0.10581018518518519</v>
      </c>
      <c r="R98" s="143">
        <v>142</v>
      </c>
      <c r="S98" s="144">
        <v>87</v>
      </c>
      <c r="T98" s="138">
        <f t="shared" si="29"/>
        <v>142</v>
      </c>
      <c r="U98" s="145">
        <v>1</v>
      </c>
      <c r="V98" s="146">
        <v>106</v>
      </c>
      <c r="W98" s="138">
        <f t="shared" si="27"/>
        <v>1</v>
      </c>
    </row>
    <row r="99" spans="1:23" s="127" customFormat="1" ht="13.65" customHeight="1" x14ac:dyDescent="0.3">
      <c r="A99" s="45">
        <v>88</v>
      </c>
      <c r="B99" s="47">
        <v>35</v>
      </c>
      <c r="C99" s="121" t="str">
        <f t="shared" si="19"/>
        <v>GER19990531*</v>
      </c>
      <c r="D99" s="122" t="str">
        <f t="shared" si="20"/>
        <v>KAMLOT Tom</v>
      </c>
      <c r="E99" s="123" t="str">
        <f t="shared" si="21"/>
        <v>JUNIOREN SCHWALBE TEAM SACHSEN</v>
      </c>
      <c r="F99" s="124" t="str">
        <f t="shared" si="22"/>
        <v>SAC135966</v>
      </c>
      <c r="G99" s="125" t="str">
        <f t="shared" si="23"/>
        <v>CADET</v>
      </c>
      <c r="H99" s="125" t="str">
        <f t="shared" si="24"/>
        <v>SAC</v>
      </c>
      <c r="I99" s="141">
        <v>8.1365740740740738E-2</v>
      </c>
      <c r="J99" s="70">
        <f t="shared" si="30"/>
        <v>3.1134259259259223E-3</v>
      </c>
      <c r="K99" s="70">
        <f t="shared" si="31"/>
        <v>0</v>
      </c>
      <c r="M99" s="70"/>
      <c r="N99" s="70"/>
      <c r="O99" s="70"/>
      <c r="P99" s="142">
        <f t="shared" si="32"/>
        <v>0.10581018518518519</v>
      </c>
      <c r="R99" s="143">
        <v>135</v>
      </c>
      <c r="S99" s="144">
        <v>88</v>
      </c>
      <c r="T99" s="138">
        <f t="shared" si="29"/>
        <v>135</v>
      </c>
      <c r="U99" s="145">
        <v>1</v>
      </c>
      <c r="V99" s="146">
        <v>111</v>
      </c>
      <c r="W99" s="138">
        <f t="shared" si="27"/>
        <v>1</v>
      </c>
    </row>
    <row r="100" spans="1:23" s="127" customFormat="1" ht="13.65" customHeight="1" x14ac:dyDescent="0.3">
      <c r="A100" s="45">
        <v>89</v>
      </c>
      <c r="B100" s="47">
        <v>137</v>
      </c>
      <c r="C100" s="121" t="str">
        <f t="shared" si="19"/>
        <v>SVK19970906</v>
      </c>
      <c r="D100" s="122" t="str">
        <f t="shared" si="20"/>
        <v>HLOŽA Michal</v>
      </c>
      <c r="E100" s="123" t="str">
        <f t="shared" si="21"/>
        <v>MIX5 - TJ SLAVIA SG TRENČÍN</v>
      </c>
      <c r="F100" s="124" t="str">
        <f t="shared" si="22"/>
        <v>S 6501</v>
      </c>
      <c r="G100" s="125" t="str">
        <f t="shared" si="23"/>
        <v xml:space="preserve">JUNIOR </v>
      </c>
      <c r="H100" s="125" t="str">
        <f t="shared" si="24"/>
        <v>SGT</v>
      </c>
      <c r="I100" s="141">
        <v>8.1423611111111113E-2</v>
      </c>
      <c r="J100" s="70">
        <f t="shared" si="30"/>
        <v>3.1712962962962971E-3</v>
      </c>
      <c r="K100" s="70">
        <f t="shared" si="31"/>
        <v>0</v>
      </c>
      <c r="M100" s="70"/>
      <c r="N100" s="70"/>
      <c r="O100" s="70"/>
      <c r="P100" s="142">
        <f t="shared" si="32"/>
        <v>0.10581018518518519</v>
      </c>
      <c r="R100" s="143">
        <v>133</v>
      </c>
      <c r="S100" s="144">
        <v>89</v>
      </c>
      <c r="T100" s="138">
        <f t="shared" si="29"/>
        <v>133</v>
      </c>
      <c r="U100" s="145">
        <v>1</v>
      </c>
      <c r="V100" s="146">
        <v>112</v>
      </c>
      <c r="W100" s="138">
        <f t="shared" si="27"/>
        <v>1</v>
      </c>
    </row>
    <row r="101" spans="1:23" s="127" customFormat="1" ht="13.65" customHeight="1" x14ac:dyDescent="0.3">
      <c r="A101" s="45">
        <v>90</v>
      </c>
      <c r="B101" s="47">
        <v>139</v>
      </c>
      <c r="C101" s="121" t="str">
        <f t="shared" si="19"/>
        <v>*POL19980719</v>
      </c>
      <c r="D101" s="122" t="str">
        <f t="shared" si="20"/>
        <v>NOWAK Michał</v>
      </c>
      <c r="E101" s="123" t="str">
        <f t="shared" si="21"/>
        <v>MIX5 - DSR AUTHOR GÓRNIK WAŁBRZYCH</v>
      </c>
      <c r="F101" s="124" t="str">
        <f t="shared" si="22"/>
        <v>DLS196</v>
      </c>
      <c r="G101" s="125" t="str">
        <f t="shared" si="23"/>
        <v>JUNIOR *</v>
      </c>
      <c r="H101" s="125" t="str">
        <f t="shared" si="24"/>
        <v>SGT</v>
      </c>
      <c r="I101" s="141">
        <v>8.2048611111111114E-2</v>
      </c>
      <c r="J101" s="70">
        <f t="shared" si="30"/>
        <v>3.7962962962962976E-3</v>
      </c>
      <c r="K101" s="70">
        <f t="shared" si="31"/>
        <v>0</v>
      </c>
      <c r="M101" s="70"/>
      <c r="N101" s="70"/>
      <c r="O101" s="70"/>
      <c r="P101" s="142">
        <f t="shared" si="32"/>
        <v>0.10581018518518519</v>
      </c>
      <c r="R101" s="143">
        <v>38</v>
      </c>
      <c r="S101" s="144">
        <v>90</v>
      </c>
      <c r="T101" s="138">
        <f t="shared" si="29"/>
        <v>38</v>
      </c>
      <c r="U101" s="145">
        <v>1</v>
      </c>
      <c r="V101" s="146">
        <v>113</v>
      </c>
      <c r="W101" s="138">
        <f t="shared" si="27"/>
        <v>1</v>
      </c>
    </row>
    <row r="102" spans="1:23" s="127" customFormat="1" ht="13.65" customHeight="1" x14ac:dyDescent="0.3">
      <c r="A102" s="45">
        <v>91</v>
      </c>
      <c r="B102" s="47">
        <v>59</v>
      </c>
      <c r="C102" s="121" t="str">
        <f t="shared" si="19"/>
        <v>POL19971003</v>
      </c>
      <c r="D102" s="122" t="str">
        <f t="shared" si="20"/>
        <v>INDEKA Kamil</v>
      </c>
      <c r="E102" s="123" t="str">
        <f t="shared" si="21"/>
        <v xml:space="preserve">MIX1 - GRUPA KOLARSKA GLIWICE </v>
      </c>
      <c r="F102" s="124" t="str">
        <f t="shared" si="22"/>
        <v>SLA643</v>
      </c>
      <c r="G102" s="125" t="str">
        <f t="shared" si="23"/>
        <v xml:space="preserve">JUNIOR </v>
      </c>
      <c r="H102" s="125" t="str">
        <f t="shared" si="24"/>
        <v>SLZ</v>
      </c>
      <c r="I102" s="141">
        <v>8.2048611111111114E-2</v>
      </c>
      <c r="J102" s="70">
        <f t="shared" si="30"/>
        <v>3.7962962962962976E-3</v>
      </c>
      <c r="K102" s="70">
        <f t="shared" si="31"/>
        <v>0</v>
      </c>
      <c r="M102" s="70"/>
      <c r="N102" s="70"/>
      <c r="O102" s="70"/>
      <c r="P102" s="142">
        <f t="shared" si="32"/>
        <v>0.10581018518518519</v>
      </c>
      <c r="R102" s="143">
        <v>35</v>
      </c>
      <c r="S102" s="144">
        <v>91</v>
      </c>
      <c r="T102" s="138">
        <f t="shared" si="29"/>
        <v>35</v>
      </c>
      <c r="U102" s="145">
        <v>1</v>
      </c>
      <c r="V102" s="146">
        <v>114</v>
      </c>
      <c r="W102" s="138">
        <f t="shared" si="27"/>
        <v>1</v>
      </c>
    </row>
    <row r="103" spans="1:23" s="127" customFormat="1" ht="13.65" customHeight="1" x14ac:dyDescent="0.3">
      <c r="A103" s="45">
        <v>92</v>
      </c>
      <c r="B103" s="47">
        <v>23</v>
      </c>
      <c r="C103" s="121" t="str">
        <f t="shared" si="19"/>
        <v>CZE19990521*</v>
      </c>
      <c r="D103" s="122" t="str">
        <f t="shared" si="20"/>
        <v xml:space="preserve">CINK Jan </v>
      </c>
      <c r="E103" s="123" t="str">
        <f t="shared" si="21"/>
        <v xml:space="preserve">MAPEI MERIDA KAŇKOVSKÝ </v>
      </c>
      <c r="F103" s="124">
        <f t="shared" si="22"/>
        <v>5465</v>
      </c>
      <c r="G103" s="125" t="str">
        <f t="shared" si="23"/>
        <v>CADET</v>
      </c>
      <c r="H103" s="125" t="str">
        <f t="shared" si="24"/>
        <v>MAP</v>
      </c>
      <c r="I103" s="141">
        <v>8.2812499999999997E-2</v>
      </c>
      <c r="J103" s="70">
        <f t="shared" si="30"/>
        <v>4.560185185185181E-3</v>
      </c>
      <c r="K103" s="70">
        <f t="shared" si="31"/>
        <v>0</v>
      </c>
      <c r="M103" s="70"/>
      <c r="N103" s="70"/>
      <c r="O103" s="70"/>
      <c r="P103" s="142">
        <f t="shared" si="32"/>
        <v>0.10581018518518519</v>
      </c>
      <c r="R103" s="143">
        <v>137</v>
      </c>
      <c r="S103" s="144">
        <v>92</v>
      </c>
      <c r="T103" s="138">
        <f t="shared" si="29"/>
        <v>137</v>
      </c>
      <c r="U103" s="145">
        <v>1</v>
      </c>
      <c r="V103" s="146">
        <v>115</v>
      </c>
      <c r="W103" s="138">
        <f t="shared" si="27"/>
        <v>1</v>
      </c>
    </row>
    <row r="104" spans="1:23" s="127" customFormat="1" ht="13.65" customHeight="1" x14ac:dyDescent="0.3">
      <c r="A104" s="45">
        <v>93</v>
      </c>
      <c r="B104" s="47">
        <v>44</v>
      </c>
      <c r="C104" s="121" t="str">
        <f t="shared" si="19"/>
        <v>CZE19970417</v>
      </c>
      <c r="D104" s="122" t="str">
        <f t="shared" si="20"/>
        <v xml:space="preserve">KUBEŠ Martin </v>
      </c>
      <c r="E104" s="123" t="str">
        <f t="shared" si="21"/>
        <v xml:space="preserve">SKC TUFO PROSTĚJOV </v>
      </c>
      <c r="F104" s="124">
        <f t="shared" si="22"/>
        <v>13287</v>
      </c>
      <c r="G104" s="125" t="str">
        <f t="shared" si="23"/>
        <v xml:space="preserve">JUNIOR </v>
      </c>
      <c r="H104" s="125" t="str">
        <f t="shared" si="24"/>
        <v>STP</v>
      </c>
      <c r="I104" s="141">
        <v>8.2812499999999997E-2</v>
      </c>
      <c r="J104" s="70">
        <f t="shared" si="30"/>
        <v>4.560185185185181E-3</v>
      </c>
      <c r="K104" s="70">
        <f t="shared" si="31"/>
        <v>0</v>
      </c>
      <c r="M104" s="70"/>
      <c r="N104" s="70"/>
      <c r="O104" s="70"/>
      <c r="P104" s="142">
        <f t="shared" si="32"/>
        <v>0.10581018518518519</v>
      </c>
      <c r="R104" s="143">
        <v>139</v>
      </c>
      <c r="S104" s="144">
        <v>93</v>
      </c>
      <c r="T104" s="138">
        <f t="shared" si="29"/>
        <v>139</v>
      </c>
      <c r="U104" s="145">
        <v>1</v>
      </c>
      <c r="V104" s="146">
        <v>116</v>
      </c>
      <c r="W104" s="138">
        <f t="shared" si="27"/>
        <v>1</v>
      </c>
    </row>
    <row r="105" spans="1:23" s="127" customFormat="1" ht="13.65" customHeight="1" x14ac:dyDescent="0.3">
      <c r="A105" s="45">
        <v>94</v>
      </c>
      <c r="B105" s="47">
        <v>121</v>
      </c>
      <c r="C105" s="121" t="str">
        <f t="shared" si="19"/>
        <v>CZE19990209*</v>
      </c>
      <c r="D105" s="122" t="str">
        <f t="shared" si="20"/>
        <v xml:space="preserve">HONZÁK David </v>
      </c>
      <c r="E105" s="123" t="str">
        <f t="shared" si="21"/>
        <v>MIX4 - KC KOOPERATIVA SG JABLONEC N.N</v>
      </c>
      <c r="F105" s="124">
        <f t="shared" si="22"/>
        <v>14334</v>
      </c>
      <c r="G105" s="125" t="str">
        <f t="shared" si="23"/>
        <v>CADET</v>
      </c>
      <c r="H105" s="125" t="str">
        <f t="shared" si="24"/>
        <v>KOO</v>
      </c>
      <c r="I105" s="141">
        <v>8.2812499999999997E-2</v>
      </c>
      <c r="J105" s="70">
        <f t="shared" si="30"/>
        <v>4.560185185185181E-3</v>
      </c>
      <c r="K105" s="70">
        <f t="shared" si="31"/>
        <v>0</v>
      </c>
      <c r="M105" s="70"/>
      <c r="N105" s="70"/>
      <c r="O105" s="70"/>
      <c r="P105" s="142">
        <f t="shared" si="32"/>
        <v>0.10581018518518519</v>
      </c>
      <c r="R105" s="143">
        <v>59</v>
      </c>
      <c r="S105" s="144">
        <v>94</v>
      </c>
      <c r="T105" s="138">
        <f t="shared" si="29"/>
        <v>59</v>
      </c>
      <c r="U105" s="145">
        <v>1</v>
      </c>
      <c r="V105" s="146">
        <v>117</v>
      </c>
      <c r="W105" s="138">
        <f t="shared" si="27"/>
        <v>1</v>
      </c>
    </row>
    <row r="106" spans="1:23" s="127" customFormat="1" ht="13.65" customHeight="1" x14ac:dyDescent="0.3">
      <c r="A106" s="45">
        <v>95</v>
      </c>
      <c r="B106" s="47">
        <v>105</v>
      </c>
      <c r="C106" s="121" t="str">
        <f t="shared" si="19"/>
        <v>*SVK19980903</v>
      </c>
      <c r="D106" s="122" t="str">
        <f t="shared" si="20"/>
        <v>VOJTEK Miloš</v>
      </c>
      <c r="E106" s="123" t="str">
        <f t="shared" si="21"/>
        <v>SLOVAK CYCLING FEDERATION</v>
      </c>
      <c r="F106" s="124" t="str">
        <f t="shared" si="22"/>
        <v>S 7223</v>
      </c>
      <c r="G106" s="125" t="str">
        <f t="shared" si="23"/>
        <v>JUNIOR *</v>
      </c>
      <c r="H106" s="125" t="str">
        <f t="shared" si="24"/>
        <v>SVK</v>
      </c>
      <c r="I106" s="141">
        <v>8.2835648148148144E-2</v>
      </c>
      <c r="J106" s="70">
        <f t="shared" si="30"/>
        <v>4.5833333333333282E-3</v>
      </c>
      <c r="K106" s="70">
        <f t="shared" si="31"/>
        <v>0</v>
      </c>
      <c r="M106" s="70"/>
      <c r="N106" s="70"/>
      <c r="O106" s="70"/>
      <c r="P106" s="142">
        <f t="shared" ref="P106:P148" si="33">I95-K95+O106</f>
        <v>8.0497685185185186E-2</v>
      </c>
      <c r="R106" s="143">
        <v>42</v>
      </c>
      <c r="S106" s="144">
        <v>95</v>
      </c>
      <c r="T106" s="138">
        <f t="shared" si="29"/>
        <v>42</v>
      </c>
      <c r="U106" s="145">
        <v>1</v>
      </c>
      <c r="V106" s="146">
        <v>118</v>
      </c>
      <c r="W106" s="138">
        <f t="shared" si="27"/>
        <v>1</v>
      </c>
    </row>
    <row r="107" spans="1:23" s="127" customFormat="1" ht="13.65" customHeight="1" x14ac:dyDescent="0.3">
      <c r="A107" s="45">
        <v>96</v>
      </c>
      <c r="B107" s="47">
        <v>151</v>
      </c>
      <c r="C107" s="121" t="str">
        <f t="shared" si="19"/>
        <v>POL19990406*</v>
      </c>
      <c r="D107" s="122" t="str">
        <f t="shared" si="20"/>
        <v>MANOWSKI Mateusz</v>
      </c>
      <c r="E107" s="123" t="str">
        <f t="shared" si="21"/>
        <v>MIX7 - DOBRE SKLEPY ROWEROWE AUTHOR PSZCZYNA</v>
      </c>
      <c r="F107" s="124" t="str">
        <f t="shared" si="22"/>
        <v>SLA451</v>
      </c>
      <c r="G107" s="125" t="str">
        <f t="shared" si="23"/>
        <v>CADET</v>
      </c>
      <c r="H107" s="125" t="str">
        <f t="shared" si="24"/>
        <v>RLM</v>
      </c>
      <c r="I107" s="141">
        <v>8.4247685185185175E-2</v>
      </c>
      <c r="J107" s="70">
        <f t="shared" si="30"/>
        <v>5.9953703703703592E-3</v>
      </c>
      <c r="K107" s="70">
        <f t="shared" si="31"/>
        <v>0</v>
      </c>
      <c r="M107" s="70"/>
      <c r="N107" s="70"/>
      <c r="O107" s="70"/>
      <c r="P107" s="142">
        <f t="shared" si="33"/>
        <v>8.0497685185185186E-2</v>
      </c>
      <c r="R107" s="143">
        <v>23</v>
      </c>
      <c r="S107" s="144">
        <v>96</v>
      </c>
      <c r="T107" s="138">
        <f t="shared" si="29"/>
        <v>23</v>
      </c>
      <c r="U107" s="145">
        <v>1</v>
      </c>
      <c r="V107" s="146">
        <v>119</v>
      </c>
      <c r="W107" s="138">
        <f t="shared" si="27"/>
        <v>1</v>
      </c>
    </row>
    <row r="108" spans="1:23" s="127" customFormat="1" ht="13.65" customHeight="1" x14ac:dyDescent="0.3">
      <c r="A108" s="45">
        <v>97</v>
      </c>
      <c r="B108" s="47">
        <v>145</v>
      </c>
      <c r="C108" s="121" t="str">
        <f t="shared" ref="C108:C139" si="34">VLOOKUP(B108,STARTOVKA,2,0)</f>
        <v>*CZE19980313</v>
      </c>
      <c r="D108" s="122" t="str">
        <f t="shared" ref="D108:D139" si="35">VLOOKUP(B108,STARTOVKA,3,0)</f>
        <v xml:space="preserve">CIHLÁŘ Adam </v>
      </c>
      <c r="E108" s="123" t="str">
        <f t="shared" ref="E108:E139" si="36">VLOOKUP(B108,STARTOVKA,4,0)</f>
        <v xml:space="preserve">MIX6 - TJ FAVORIT BRNO </v>
      </c>
      <c r="F108" s="124">
        <f t="shared" ref="F108:F139" si="37">VLOOKUP(B108,STARTOVKA,5,0)</f>
        <v>20840</v>
      </c>
      <c r="G108" s="125" t="str">
        <f t="shared" ref="G108:G139" si="38">VLOOKUP(B108,STARTOVKA,6,0)</f>
        <v>JUNIOR *</v>
      </c>
      <c r="H108" s="125" t="str">
        <f t="shared" ref="H108:H139" si="39">VLOOKUP(B108,STARTOVKA,7,0)</f>
        <v>FAV</v>
      </c>
      <c r="I108" s="141">
        <v>8.4247685185185175E-2</v>
      </c>
      <c r="J108" s="70">
        <f t="shared" si="30"/>
        <v>5.9953703703703592E-3</v>
      </c>
      <c r="K108" s="70">
        <f t="shared" si="31"/>
        <v>0</v>
      </c>
      <c r="M108" s="70"/>
      <c r="N108" s="70"/>
      <c r="O108" s="70"/>
      <c r="P108" s="142">
        <f t="shared" si="33"/>
        <v>8.0497685185185186E-2</v>
      </c>
      <c r="R108" s="143">
        <v>44</v>
      </c>
      <c r="S108" s="144">
        <v>97</v>
      </c>
      <c r="T108" s="138">
        <f t="shared" si="29"/>
        <v>44</v>
      </c>
      <c r="U108" s="145">
        <v>1</v>
      </c>
      <c r="V108" s="146">
        <v>121</v>
      </c>
      <c r="W108" s="138">
        <f t="shared" ref="W108:W139" si="40">SUMIF(T:T,V:V,U:U)</f>
        <v>1</v>
      </c>
    </row>
    <row r="109" spans="1:23" s="127" customFormat="1" ht="13.65" customHeight="1" x14ac:dyDescent="0.3">
      <c r="A109" s="45">
        <v>98</v>
      </c>
      <c r="B109" s="47">
        <v>143</v>
      </c>
      <c r="C109" s="121" t="str">
        <f t="shared" si="34"/>
        <v>SVK19990903*</v>
      </c>
      <c r="D109" s="122" t="str">
        <f t="shared" si="35"/>
        <v>JANUŠ Pavol</v>
      </c>
      <c r="E109" s="123" t="str">
        <f t="shared" si="36"/>
        <v>MIX6 - CYKLISTICKÝ SPOLOK ŽILINA</v>
      </c>
      <c r="F109" s="124" t="str">
        <f t="shared" si="37"/>
        <v>S 7460</v>
      </c>
      <c r="G109" s="125" t="str">
        <f t="shared" si="38"/>
        <v>CADET</v>
      </c>
      <c r="H109" s="125" t="str">
        <f t="shared" si="39"/>
        <v>FAV</v>
      </c>
      <c r="I109" s="141">
        <v>8.4247685185185175E-2</v>
      </c>
      <c r="J109" s="70">
        <f t="shared" si="30"/>
        <v>5.9953703703703592E-3</v>
      </c>
      <c r="K109" s="70">
        <f t="shared" si="31"/>
        <v>0</v>
      </c>
      <c r="M109" s="70"/>
      <c r="N109" s="70"/>
      <c r="O109" s="70"/>
      <c r="P109" s="142">
        <f t="shared" si="33"/>
        <v>8.1203703703703708E-2</v>
      </c>
      <c r="R109" s="143">
        <v>121</v>
      </c>
      <c r="S109" s="144">
        <v>98</v>
      </c>
      <c r="T109" s="138">
        <f t="shared" si="29"/>
        <v>121</v>
      </c>
      <c r="U109" s="145">
        <v>1</v>
      </c>
      <c r="V109" s="146">
        <v>122</v>
      </c>
      <c r="W109" s="138">
        <f t="shared" si="40"/>
        <v>1</v>
      </c>
    </row>
    <row r="110" spans="1:23" s="127" customFormat="1" ht="13.65" customHeight="1" x14ac:dyDescent="0.3">
      <c r="A110" s="45">
        <v>99</v>
      </c>
      <c r="B110" s="47">
        <v>148</v>
      </c>
      <c r="C110" s="121" t="str">
        <f t="shared" si="34"/>
        <v>CZE19970409</v>
      </c>
      <c r="D110" s="122" t="str">
        <f t="shared" si="35"/>
        <v xml:space="preserve">POTŮČEK Šimon </v>
      </c>
      <c r="E110" s="123" t="str">
        <f t="shared" si="36"/>
        <v xml:space="preserve">MIX6 - TJ FAVORIT BRNO </v>
      </c>
      <c r="F110" s="124">
        <f t="shared" si="37"/>
        <v>20675</v>
      </c>
      <c r="G110" s="125" t="str">
        <f t="shared" si="38"/>
        <v xml:space="preserve">JUNIOR </v>
      </c>
      <c r="H110" s="125" t="str">
        <f t="shared" si="39"/>
        <v>FAV</v>
      </c>
      <c r="I110" s="141">
        <v>8.4247685185185175E-2</v>
      </c>
      <c r="J110" s="70">
        <f t="shared" si="30"/>
        <v>5.9953703703703592E-3</v>
      </c>
      <c r="K110" s="70">
        <f t="shared" si="31"/>
        <v>0</v>
      </c>
      <c r="M110" s="70"/>
      <c r="N110" s="70"/>
      <c r="O110" s="70"/>
      <c r="P110" s="142">
        <f t="shared" si="33"/>
        <v>8.1365740740740738E-2</v>
      </c>
      <c r="R110" s="143">
        <v>105</v>
      </c>
      <c r="S110" s="144">
        <v>99</v>
      </c>
      <c r="T110" s="138">
        <f t="shared" si="29"/>
        <v>105</v>
      </c>
      <c r="U110" s="145">
        <v>1</v>
      </c>
      <c r="V110" s="146">
        <v>123</v>
      </c>
      <c r="W110" s="138">
        <f t="shared" si="40"/>
        <v>1</v>
      </c>
    </row>
    <row r="111" spans="1:23" s="127" customFormat="1" ht="13.65" customHeight="1" x14ac:dyDescent="0.3">
      <c r="A111" s="45">
        <v>100</v>
      </c>
      <c r="B111" s="47">
        <v>152</v>
      </c>
      <c r="C111" s="121" t="str">
        <f t="shared" si="34"/>
        <v>POL20000206*</v>
      </c>
      <c r="D111" s="122" t="str">
        <f t="shared" si="35"/>
        <v>WENGLORZ Michał</v>
      </c>
      <c r="E111" s="123" t="str">
        <f t="shared" si="36"/>
        <v>MIX7 - DOBRE SKLEPY ROWEROWE AUTHOR PSZCZYNA</v>
      </c>
      <c r="F111" s="124" t="str">
        <f t="shared" si="37"/>
        <v>SLA458</v>
      </c>
      <c r="G111" s="125" t="str">
        <f t="shared" si="38"/>
        <v>CADET</v>
      </c>
      <c r="H111" s="125" t="str">
        <f t="shared" si="39"/>
        <v>RLM</v>
      </c>
      <c r="I111" s="141">
        <v>8.4247685185185175E-2</v>
      </c>
      <c r="J111" s="70">
        <f t="shared" si="30"/>
        <v>5.9953703703703592E-3</v>
      </c>
      <c r="K111" s="70">
        <f t="shared" si="31"/>
        <v>0</v>
      </c>
      <c r="M111" s="70"/>
      <c r="N111" s="70"/>
      <c r="O111" s="70"/>
      <c r="P111" s="142">
        <f t="shared" si="33"/>
        <v>8.1423611111111113E-2</v>
      </c>
      <c r="R111" s="143">
        <v>151</v>
      </c>
      <c r="S111" s="144">
        <v>100</v>
      </c>
      <c r="T111" s="138">
        <f t="shared" si="29"/>
        <v>151</v>
      </c>
      <c r="U111" s="145">
        <v>1</v>
      </c>
      <c r="V111" s="146">
        <v>124</v>
      </c>
      <c r="W111" s="138">
        <f t="shared" si="40"/>
        <v>1</v>
      </c>
    </row>
    <row r="112" spans="1:23" s="127" customFormat="1" ht="13.65" customHeight="1" x14ac:dyDescent="0.3">
      <c r="A112" s="45">
        <v>101</v>
      </c>
      <c r="B112" s="47">
        <v>167</v>
      </c>
      <c r="C112" s="121" t="str">
        <f t="shared" si="34"/>
        <v>AUT19970406</v>
      </c>
      <c r="D112" s="122" t="str">
        <f t="shared" si="35"/>
        <v>WINTER Stefan</v>
      </c>
      <c r="E112" s="123" t="str">
        <f t="shared" si="36"/>
        <v>LRV STEIERMARK</v>
      </c>
      <c r="F112" s="124">
        <f t="shared" si="37"/>
        <v>100677</v>
      </c>
      <c r="G112" s="125" t="str">
        <f t="shared" si="38"/>
        <v xml:space="preserve">JUNIOR </v>
      </c>
      <c r="H112" s="125" t="str">
        <f t="shared" si="39"/>
        <v>LRS</v>
      </c>
      <c r="I112" s="141">
        <v>8.4537037037037036E-2</v>
      </c>
      <c r="J112" s="70">
        <f t="shared" si="30"/>
        <v>6.2847222222222193E-3</v>
      </c>
      <c r="K112" s="70">
        <f t="shared" si="31"/>
        <v>0</v>
      </c>
      <c r="M112" s="70"/>
      <c r="N112" s="70"/>
      <c r="O112" s="70"/>
      <c r="P112" s="142">
        <f t="shared" si="33"/>
        <v>8.2048611111111114E-2</v>
      </c>
      <c r="R112" s="143">
        <v>145</v>
      </c>
      <c r="S112" s="144">
        <v>101</v>
      </c>
      <c r="T112" s="138">
        <f t="shared" si="29"/>
        <v>145</v>
      </c>
      <c r="U112" s="145">
        <v>1</v>
      </c>
      <c r="V112" s="146">
        <v>125</v>
      </c>
      <c r="W112" s="138">
        <f t="shared" si="40"/>
        <v>1</v>
      </c>
    </row>
    <row r="113" spans="1:23" s="127" customFormat="1" ht="13.65" customHeight="1" x14ac:dyDescent="0.3">
      <c r="A113" s="45">
        <v>102</v>
      </c>
      <c r="B113" s="47">
        <v>154</v>
      </c>
      <c r="C113" s="121" t="str">
        <f t="shared" si="34"/>
        <v>*AUT19980711</v>
      </c>
      <c r="D113" s="122" t="str">
        <f t="shared" si="35"/>
        <v>EDELBAUER Tobias</v>
      </c>
      <c r="E113" s="123" t="str">
        <f t="shared" si="36"/>
        <v>MIX7 - RLM WIEN (RADLEISTUNGSMODELL WIEN)</v>
      </c>
      <c r="F113" s="124">
        <f t="shared" si="37"/>
        <v>100225</v>
      </c>
      <c r="G113" s="125" t="str">
        <f t="shared" si="38"/>
        <v>JUNIOR *</v>
      </c>
      <c r="H113" s="125" t="str">
        <f t="shared" si="39"/>
        <v>RLM</v>
      </c>
      <c r="I113" s="141">
        <v>8.4537037037037036E-2</v>
      </c>
      <c r="J113" s="70">
        <f t="shared" si="30"/>
        <v>6.2847222222222193E-3</v>
      </c>
      <c r="K113" s="70">
        <f t="shared" si="31"/>
        <v>0</v>
      </c>
      <c r="M113" s="70"/>
      <c r="N113" s="70"/>
      <c r="O113" s="70"/>
      <c r="P113" s="142">
        <f t="shared" si="33"/>
        <v>8.2048611111111114E-2</v>
      </c>
      <c r="R113" s="143">
        <v>143</v>
      </c>
      <c r="S113" s="144">
        <v>102</v>
      </c>
      <c r="T113" s="138">
        <f t="shared" si="29"/>
        <v>143</v>
      </c>
      <c r="U113" s="145">
        <v>1</v>
      </c>
      <c r="V113" s="146">
        <v>126</v>
      </c>
      <c r="W113" s="138">
        <f t="shared" si="40"/>
        <v>1</v>
      </c>
    </row>
    <row r="114" spans="1:23" s="127" customFormat="1" ht="13.65" customHeight="1" x14ac:dyDescent="0.3">
      <c r="A114" s="45">
        <v>103</v>
      </c>
      <c r="B114" s="47">
        <v>77</v>
      </c>
      <c r="C114" s="121" t="str">
        <f t="shared" si="34"/>
        <v>BEL19970116</v>
      </c>
      <c r="D114" s="122" t="str">
        <f t="shared" si="35"/>
        <v>PENNINCK Jens</v>
      </c>
      <c r="E114" s="123" t="str">
        <f t="shared" si="36"/>
        <v>MIX2  - WZW TIELTSE RENNERSCLUB</v>
      </c>
      <c r="F114" s="124">
        <f t="shared" si="37"/>
        <v>56927</v>
      </c>
      <c r="G114" s="125" t="str">
        <f t="shared" si="38"/>
        <v xml:space="preserve">JUNIOR </v>
      </c>
      <c r="H114" s="125" t="str">
        <f t="shared" si="39"/>
        <v>KOV</v>
      </c>
      <c r="I114" s="141">
        <v>8.5104166666666661E-2</v>
      </c>
      <c r="J114" s="70">
        <f t="shared" si="30"/>
        <v>6.8518518518518451E-3</v>
      </c>
      <c r="K114" s="70">
        <f t="shared" si="31"/>
        <v>0</v>
      </c>
      <c r="M114" s="70"/>
      <c r="N114" s="70"/>
      <c r="O114" s="70"/>
      <c r="P114" s="142">
        <f t="shared" si="33"/>
        <v>8.2812499999999997E-2</v>
      </c>
      <c r="R114" s="143">
        <v>148</v>
      </c>
      <c r="S114" s="144">
        <v>103</v>
      </c>
      <c r="T114" s="138">
        <f t="shared" si="29"/>
        <v>148</v>
      </c>
      <c r="U114" s="145">
        <v>1</v>
      </c>
      <c r="V114" s="146">
        <v>127</v>
      </c>
      <c r="W114" s="138">
        <f t="shared" si="40"/>
        <v>1</v>
      </c>
    </row>
    <row r="115" spans="1:23" s="127" customFormat="1" ht="13.65" customHeight="1" x14ac:dyDescent="0.3">
      <c r="A115" s="45">
        <v>104</v>
      </c>
      <c r="B115" s="47">
        <v>155</v>
      </c>
      <c r="C115" s="121" t="str">
        <f t="shared" si="34"/>
        <v>AUT19971224</v>
      </c>
      <c r="D115" s="122" t="str">
        <f t="shared" si="35"/>
        <v>GRASL Patrick</v>
      </c>
      <c r="E115" s="123" t="str">
        <f t="shared" si="36"/>
        <v>MIX7 - RLM WIEN (RADLEISTUNGSMODELL WIEN)</v>
      </c>
      <c r="F115" s="124">
        <f t="shared" si="37"/>
        <v>100040</v>
      </c>
      <c r="G115" s="125" t="str">
        <f t="shared" si="38"/>
        <v xml:space="preserve">JUNIOR </v>
      </c>
      <c r="H115" s="125" t="str">
        <f t="shared" si="39"/>
        <v>RLM</v>
      </c>
      <c r="I115" s="141">
        <v>8.519675925925925E-2</v>
      </c>
      <c r="J115" s="70">
        <f t="shared" si="30"/>
        <v>6.9444444444444337E-3</v>
      </c>
      <c r="K115" s="70">
        <f t="shared" si="31"/>
        <v>0</v>
      </c>
      <c r="M115" s="70"/>
      <c r="N115" s="70"/>
      <c r="O115" s="70"/>
      <c r="P115" s="142">
        <f t="shared" si="33"/>
        <v>8.2812499999999997E-2</v>
      </c>
      <c r="R115" s="143">
        <v>152</v>
      </c>
      <c r="S115" s="144">
        <v>104</v>
      </c>
      <c r="T115" s="138">
        <f t="shared" si="29"/>
        <v>152</v>
      </c>
      <c r="U115" s="145">
        <v>1</v>
      </c>
      <c r="V115" s="146">
        <v>131</v>
      </c>
      <c r="W115" s="138">
        <f t="shared" si="40"/>
        <v>1</v>
      </c>
    </row>
    <row r="116" spans="1:23" s="127" customFormat="1" ht="13.65" customHeight="1" x14ac:dyDescent="0.3">
      <c r="A116" s="45">
        <v>105</v>
      </c>
      <c r="B116" s="47">
        <v>153</v>
      </c>
      <c r="C116" s="121" t="str">
        <f t="shared" si="34"/>
        <v>AUT19971210</v>
      </c>
      <c r="D116" s="122" t="str">
        <f t="shared" si="35"/>
        <v>APPELTAUER Samuel</v>
      </c>
      <c r="E116" s="123" t="str">
        <f t="shared" si="36"/>
        <v>MIX7 - RLM WIEN (RADLEISTUNGSMODELL WIEN)</v>
      </c>
      <c r="F116" s="124">
        <f t="shared" si="37"/>
        <v>100027</v>
      </c>
      <c r="G116" s="125" t="str">
        <f t="shared" si="38"/>
        <v xml:space="preserve">JUNIOR </v>
      </c>
      <c r="H116" s="125" t="str">
        <f t="shared" si="39"/>
        <v>RLM</v>
      </c>
      <c r="I116" s="141">
        <v>8.6249999999999993E-2</v>
      </c>
      <c r="J116" s="70">
        <f t="shared" si="30"/>
        <v>7.9976851851851771E-3</v>
      </c>
      <c r="K116" s="70">
        <f t="shared" si="31"/>
        <v>0</v>
      </c>
      <c r="M116" s="70"/>
      <c r="N116" s="70"/>
      <c r="O116" s="70"/>
      <c r="P116" s="142">
        <f t="shared" si="33"/>
        <v>8.2812499999999997E-2</v>
      </c>
      <c r="R116" s="143">
        <v>167</v>
      </c>
      <c r="S116" s="144">
        <v>105</v>
      </c>
      <c r="T116" s="138">
        <f t="shared" si="29"/>
        <v>167</v>
      </c>
      <c r="U116" s="145">
        <v>1</v>
      </c>
      <c r="V116" s="146">
        <v>132</v>
      </c>
      <c r="W116" s="138">
        <f t="shared" si="40"/>
        <v>1</v>
      </c>
    </row>
    <row r="117" spans="1:23" s="127" customFormat="1" ht="13.65" customHeight="1" x14ac:dyDescent="0.3">
      <c r="A117" s="45">
        <v>106</v>
      </c>
      <c r="B117" s="47">
        <v>1</v>
      </c>
      <c r="C117" s="121" t="str">
        <f t="shared" si="34"/>
        <v>*GER19981124</v>
      </c>
      <c r="D117" s="122" t="str">
        <f t="shared" si="35"/>
        <v>AMBROSIUS Carlos</v>
      </c>
      <c r="E117" s="123" t="str">
        <f t="shared" si="36"/>
        <v>RSC COTTBUS</v>
      </c>
      <c r="F117" s="124" t="str">
        <f t="shared" si="37"/>
        <v>BRA043963</v>
      </c>
      <c r="G117" s="125" t="str">
        <f t="shared" si="38"/>
        <v>JUNIOR *</v>
      </c>
      <c r="H117" s="125" t="str">
        <f t="shared" si="39"/>
        <v>COT</v>
      </c>
      <c r="I117" s="141">
        <v>8.7592592592592597E-2</v>
      </c>
      <c r="J117" s="70">
        <f t="shared" si="30"/>
        <v>9.3402777777777807E-3</v>
      </c>
      <c r="K117" s="70">
        <f t="shared" si="31"/>
        <v>0</v>
      </c>
      <c r="M117" s="70"/>
      <c r="N117" s="70"/>
      <c r="O117" s="70"/>
      <c r="P117" s="142">
        <f t="shared" si="33"/>
        <v>8.2835648148148144E-2</v>
      </c>
      <c r="R117" s="143">
        <v>154</v>
      </c>
      <c r="S117" s="144">
        <v>106</v>
      </c>
      <c r="T117" s="138">
        <f t="shared" si="29"/>
        <v>154</v>
      </c>
      <c r="U117" s="145">
        <v>1</v>
      </c>
      <c r="V117" s="146">
        <v>133</v>
      </c>
      <c r="W117" s="138">
        <f t="shared" si="40"/>
        <v>1</v>
      </c>
    </row>
    <row r="118" spans="1:23" s="127" customFormat="1" ht="13.65" customHeight="1" x14ac:dyDescent="0.3">
      <c r="A118" s="45">
        <v>107</v>
      </c>
      <c r="B118" s="47">
        <v>20</v>
      </c>
      <c r="C118" s="121" t="str">
        <f t="shared" si="34"/>
        <v>GER19990514*</v>
      </c>
      <c r="D118" s="122" t="str">
        <f t="shared" si="35"/>
        <v>BANZER Johannes</v>
      </c>
      <c r="E118" s="123" t="str">
        <f t="shared" si="36"/>
        <v>THÜRINGER RADSPORT VERBAND</v>
      </c>
      <c r="F118" s="124" t="str">
        <f t="shared" si="37"/>
        <v>THÜ173510</v>
      </c>
      <c r="G118" s="125" t="str">
        <f t="shared" si="38"/>
        <v>CADET</v>
      </c>
      <c r="H118" s="125" t="str">
        <f t="shared" si="39"/>
        <v>THU</v>
      </c>
      <c r="I118" s="141">
        <v>8.8981481481481481E-2</v>
      </c>
      <c r="J118" s="70">
        <f t="shared" si="30"/>
        <v>1.0729166666666665E-2</v>
      </c>
      <c r="K118" s="70">
        <f t="shared" si="31"/>
        <v>0</v>
      </c>
      <c r="M118" s="70"/>
      <c r="N118" s="70"/>
      <c r="O118" s="70"/>
      <c r="P118" s="142">
        <f t="shared" si="33"/>
        <v>8.4247685185185175E-2</v>
      </c>
      <c r="R118" s="143">
        <v>77</v>
      </c>
      <c r="S118" s="144">
        <v>107</v>
      </c>
      <c r="T118" s="138">
        <f t="shared" si="29"/>
        <v>77</v>
      </c>
      <c r="U118" s="145">
        <v>1</v>
      </c>
      <c r="V118" s="146">
        <v>134</v>
      </c>
      <c r="W118" s="138">
        <f t="shared" si="40"/>
        <v>1</v>
      </c>
    </row>
    <row r="119" spans="1:23" s="127" customFormat="1" ht="13.65" customHeight="1" x14ac:dyDescent="0.3">
      <c r="A119" s="45">
        <v>108</v>
      </c>
      <c r="B119" s="47">
        <v>141</v>
      </c>
      <c r="C119" s="121" t="str">
        <f t="shared" si="34"/>
        <v>SVK20000619*</v>
      </c>
      <c r="D119" s="122" t="str">
        <f t="shared" si="35"/>
        <v>COMA Richard</v>
      </c>
      <c r="E119" s="123" t="str">
        <f t="shared" si="36"/>
        <v>MIX6 - CYKLISTICKÝ SPOLOK ŽILINA</v>
      </c>
      <c r="F119" s="124" t="str">
        <f t="shared" si="37"/>
        <v>S 6808</v>
      </c>
      <c r="G119" s="125" t="str">
        <f t="shared" si="38"/>
        <v>CADET</v>
      </c>
      <c r="H119" s="125" t="str">
        <f t="shared" si="39"/>
        <v>FAV</v>
      </c>
      <c r="I119" s="141">
        <v>8.8981481481481481E-2</v>
      </c>
      <c r="J119" s="70">
        <f t="shared" si="30"/>
        <v>1.0729166666666665E-2</v>
      </c>
      <c r="K119" s="70">
        <f t="shared" si="31"/>
        <v>0</v>
      </c>
      <c r="M119" s="70"/>
      <c r="N119" s="70"/>
      <c r="O119" s="70"/>
      <c r="P119" s="142">
        <f t="shared" si="33"/>
        <v>8.4247685185185175E-2</v>
      </c>
      <c r="R119" s="143">
        <v>155</v>
      </c>
      <c r="S119" s="144">
        <v>108</v>
      </c>
      <c r="T119" s="138">
        <f t="shared" si="29"/>
        <v>155</v>
      </c>
      <c r="U119" s="145">
        <v>1</v>
      </c>
      <c r="V119" s="146">
        <v>135</v>
      </c>
      <c r="W119" s="138">
        <f t="shared" si="40"/>
        <v>1</v>
      </c>
    </row>
    <row r="120" spans="1:23" s="127" customFormat="1" ht="13.65" customHeight="1" x14ac:dyDescent="0.3">
      <c r="A120" s="45">
        <v>109</v>
      </c>
      <c r="B120" s="47">
        <v>131</v>
      </c>
      <c r="C120" s="121" t="str">
        <f t="shared" si="34"/>
        <v>SVK19990529*</v>
      </c>
      <c r="D120" s="122" t="str">
        <f t="shared" si="35"/>
        <v>LIŠKA Daniel</v>
      </c>
      <c r="E120" s="123" t="str">
        <f t="shared" si="36"/>
        <v>MIX5 - TJ SLAVIA SG TRENČÍN</v>
      </c>
      <c r="F120" s="124" t="str">
        <f t="shared" si="37"/>
        <v>S 7011</v>
      </c>
      <c r="G120" s="125" t="str">
        <f t="shared" si="38"/>
        <v>CADET</v>
      </c>
      <c r="H120" s="125" t="str">
        <f t="shared" si="39"/>
        <v>SGT</v>
      </c>
      <c r="I120" s="141">
        <v>8.8981481481481481E-2</v>
      </c>
      <c r="J120" s="70">
        <f t="shared" si="30"/>
        <v>1.0729166666666665E-2</v>
      </c>
      <c r="K120" s="70">
        <f t="shared" si="31"/>
        <v>0</v>
      </c>
      <c r="M120" s="70"/>
      <c r="N120" s="70"/>
      <c r="O120" s="70"/>
      <c r="P120" s="142">
        <f t="shared" si="33"/>
        <v>8.4247685185185175E-2</v>
      </c>
      <c r="R120" s="143">
        <v>153</v>
      </c>
      <c r="S120" s="144">
        <v>109</v>
      </c>
      <c r="T120" s="138">
        <f t="shared" si="29"/>
        <v>153</v>
      </c>
      <c r="U120" s="145">
        <v>1</v>
      </c>
      <c r="V120" s="146">
        <v>136</v>
      </c>
      <c r="W120" s="138">
        <f t="shared" si="40"/>
        <v>1</v>
      </c>
    </row>
    <row r="121" spans="1:23" s="127" customFormat="1" ht="13.65" customHeight="1" x14ac:dyDescent="0.3">
      <c r="A121" s="45">
        <v>110</v>
      </c>
      <c r="B121" s="47">
        <v>46</v>
      </c>
      <c r="C121" s="121" t="str">
        <f t="shared" si="34"/>
        <v>*CZE19980604</v>
      </c>
      <c r="D121" s="122" t="str">
        <f t="shared" si="35"/>
        <v xml:space="preserve">ŠMÍDA Martin </v>
      </c>
      <c r="E121" s="123" t="str">
        <f t="shared" si="36"/>
        <v xml:space="preserve">SKC TUFO PROSTĚJOV </v>
      </c>
      <c r="F121" s="124">
        <f t="shared" si="37"/>
        <v>5296</v>
      </c>
      <c r="G121" s="125" t="str">
        <f t="shared" si="38"/>
        <v>JUNIOR *</v>
      </c>
      <c r="H121" s="125" t="str">
        <f t="shared" si="39"/>
        <v>STP</v>
      </c>
      <c r="I121" s="141">
        <v>8.9189814814814819E-2</v>
      </c>
      <c r="J121" s="70">
        <f t="shared" si="30"/>
        <v>1.0937500000000003E-2</v>
      </c>
      <c r="K121" s="70">
        <f t="shared" si="31"/>
        <v>0</v>
      </c>
      <c r="M121" s="70"/>
      <c r="N121" s="70"/>
      <c r="O121" s="70"/>
      <c r="P121" s="142">
        <f t="shared" si="33"/>
        <v>8.4247685185185175E-2</v>
      </c>
      <c r="R121" s="143">
        <v>1</v>
      </c>
      <c r="S121" s="144">
        <v>110</v>
      </c>
      <c r="T121" s="138">
        <f t="shared" si="29"/>
        <v>1</v>
      </c>
      <c r="U121" s="145">
        <v>1</v>
      </c>
      <c r="V121" s="146">
        <v>137</v>
      </c>
      <c r="W121" s="138">
        <f t="shared" si="40"/>
        <v>1</v>
      </c>
    </row>
    <row r="122" spans="1:23" s="127" customFormat="1" ht="13.65" customHeight="1" x14ac:dyDescent="0.3">
      <c r="A122" s="45">
        <v>111</v>
      </c>
      <c r="B122" s="47">
        <v>116</v>
      </c>
      <c r="C122" s="121" t="str">
        <f t="shared" si="34"/>
        <v>CZE19990602*</v>
      </c>
      <c r="D122" s="122" t="str">
        <f t="shared" si="35"/>
        <v xml:space="preserve">KUBA Karel </v>
      </c>
      <c r="E122" s="123" t="str">
        <f t="shared" si="36"/>
        <v xml:space="preserve">MIX3 - CK PŘÍBRAM - FANY GASTRO </v>
      </c>
      <c r="F122" s="124">
        <f t="shared" si="37"/>
        <v>19875</v>
      </c>
      <c r="G122" s="125" t="str">
        <f t="shared" si="38"/>
        <v>CADET</v>
      </c>
      <c r="H122" s="125" t="str">
        <f t="shared" si="39"/>
        <v>CPP</v>
      </c>
      <c r="I122" s="141">
        <v>8.9189814814814819E-2</v>
      </c>
      <c r="J122" s="70">
        <f t="shared" si="30"/>
        <v>1.0937500000000003E-2</v>
      </c>
      <c r="K122" s="70">
        <f t="shared" si="31"/>
        <v>0</v>
      </c>
      <c r="M122" s="70"/>
      <c r="N122" s="70"/>
      <c r="O122" s="70"/>
      <c r="P122" s="142">
        <f t="shared" si="33"/>
        <v>8.4247685185185175E-2</v>
      </c>
      <c r="R122" s="143">
        <v>20</v>
      </c>
      <c r="S122" s="144">
        <v>111</v>
      </c>
      <c r="T122" s="138">
        <f t="shared" si="29"/>
        <v>20</v>
      </c>
      <c r="U122" s="145">
        <v>1</v>
      </c>
      <c r="V122" s="146">
        <v>138</v>
      </c>
      <c r="W122" s="138">
        <f t="shared" si="40"/>
        <v>1</v>
      </c>
    </row>
    <row r="123" spans="1:23" s="127" customFormat="1" ht="13.65" customHeight="1" x14ac:dyDescent="0.3">
      <c r="A123" s="45">
        <v>112</v>
      </c>
      <c r="B123" s="47">
        <v>40</v>
      </c>
      <c r="C123" s="121" t="str">
        <f t="shared" si="34"/>
        <v>GER19991106*</v>
      </c>
      <c r="D123" s="122" t="str">
        <f t="shared" si="35"/>
        <v>ZUGEHÖR Anton</v>
      </c>
      <c r="E123" s="123" t="str">
        <f t="shared" si="36"/>
        <v>JUNIOREN SCHWALBE TEAM SACHSEN</v>
      </c>
      <c r="F123" s="124" t="str">
        <f t="shared" si="37"/>
        <v>SAC142235</v>
      </c>
      <c r="G123" s="125" t="str">
        <f t="shared" si="38"/>
        <v>CADET</v>
      </c>
      <c r="H123" s="125" t="str">
        <f t="shared" si="39"/>
        <v>SAC</v>
      </c>
      <c r="I123" s="141">
        <v>8.9189814814814819E-2</v>
      </c>
      <c r="J123" s="70">
        <f t="shared" si="30"/>
        <v>1.0937500000000003E-2</v>
      </c>
      <c r="K123" s="70">
        <f t="shared" si="31"/>
        <v>0</v>
      </c>
      <c r="M123" s="70"/>
      <c r="N123" s="70"/>
      <c r="O123" s="70"/>
      <c r="P123" s="142">
        <f t="shared" si="33"/>
        <v>8.4537037037037036E-2</v>
      </c>
      <c r="R123" s="143">
        <v>141</v>
      </c>
      <c r="S123" s="144">
        <v>112</v>
      </c>
      <c r="T123" s="138">
        <f t="shared" si="29"/>
        <v>141</v>
      </c>
      <c r="U123" s="145">
        <v>1</v>
      </c>
      <c r="V123" s="146">
        <v>139</v>
      </c>
      <c r="W123" s="138">
        <f t="shared" si="40"/>
        <v>1</v>
      </c>
    </row>
    <row r="124" spans="1:23" s="127" customFormat="1" ht="13.65" customHeight="1" x14ac:dyDescent="0.3">
      <c r="A124" s="45">
        <v>113</v>
      </c>
      <c r="B124" s="47">
        <v>7</v>
      </c>
      <c r="C124" s="121" t="str">
        <f t="shared" si="34"/>
        <v>*GER19980724</v>
      </c>
      <c r="D124" s="122" t="str">
        <f t="shared" si="35"/>
        <v>WEBER Philip</v>
      </c>
      <c r="E124" s="123" t="str">
        <f t="shared" si="36"/>
        <v>RSC COTTBUS</v>
      </c>
      <c r="F124" s="124" t="str">
        <f t="shared" si="37"/>
        <v>BRA043863</v>
      </c>
      <c r="G124" s="125" t="str">
        <f t="shared" si="38"/>
        <v>JUNIOR *</v>
      </c>
      <c r="H124" s="125" t="str">
        <f t="shared" si="39"/>
        <v>COT</v>
      </c>
      <c r="I124" s="141">
        <v>8.9189814814814819E-2</v>
      </c>
      <c r="J124" s="70">
        <f t="shared" si="30"/>
        <v>1.0937500000000003E-2</v>
      </c>
      <c r="K124" s="70">
        <f t="shared" si="31"/>
        <v>0</v>
      </c>
      <c r="M124" s="70"/>
      <c r="N124" s="70"/>
      <c r="O124" s="70"/>
      <c r="P124" s="142">
        <f t="shared" si="33"/>
        <v>8.4537037037037036E-2</v>
      </c>
      <c r="R124" s="143">
        <v>131</v>
      </c>
      <c r="S124" s="144">
        <v>113</v>
      </c>
      <c r="T124" s="138">
        <f t="shared" si="29"/>
        <v>131</v>
      </c>
      <c r="U124" s="145">
        <v>1</v>
      </c>
      <c r="V124" s="146">
        <v>140</v>
      </c>
      <c r="W124" s="138">
        <f t="shared" si="40"/>
        <v>1</v>
      </c>
    </row>
    <row r="125" spans="1:23" s="127" customFormat="1" ht="13.65" customHeight="1" x14ac:dyDescent="0.3">
      <c r="A125" s="45">
        <v>114</v>
      </c>
      <c r="B125" s="47">
        <v>93</v>
      </c>
      <c r="C125" s="121" t="str">
        <f t="shared" si="34"/>
        <v>GER19990721*</v>
      </c>
      <c r="D125" s="122" t="str">
        <f t="shared" si="35"/>
        <v>GRABOWSKY Joe</v>
      </c>
      <c r="E125" s="123" t="str">
        <f t="shared" si="36"/>
        <v>RG BERLIN</v>
      </c>
      <c r="F125" s="124" t="str">
        <f t="shared" si="37"/>
        <v>BER035062</v>
      </c>
      <c r="G125" s="125" t="str">
        <f t="shared" si="38"/>
        <v>CADET</v>
      </c>
      <c r="H125" s="125" t="str">
        <f t="shared" si="39"/>
        <v>RGB</v>
      </c>
      <c r="I125" s="141">
        <v>8.9189814814814819E-2</v>
      </c>
      <c r="J125" s="70">
        <f t="shared" si="30"/>
        <v>1.0937500000000003E-2</v>
      </c>
      <c r="K125" s="70">
        <f t="shared" si="31"/>
        <v>0</v>
      </c>
      <c r="M125" s="70"/>
      <c r="N125" s="70"/>
      <c r="O125" s="70"/>
      <c r="P125" s="142">
        <f t="shared" si="33"/>
        <v>8.5104166666666661E-2</v>
      </c>
      <c r="R125" s="143">
        <v>46</v>
      </c>
      <c r="S125" s="144">
        <v>114</v>
      </c>
      <c r="T125" s="138">
        <f t="shared" ref="T125:T148" si="41">IF(R125&lt;&gt;"",R125,"")</f>
        <v>46</v>
      </c>
      <c r="U125" s="145">
        <v>1</v>
      </c>
      <c r="V125" s="146">
        <v>141</v>
      </c>
      <c r="W125" s="138">
        <f t="shared" si="40"/>
        <v>1</v>
      </c>
    </row>
    <row r="126" spans="1:23" s="127" customFormat="1" ht="13.65" customHeight="1" x14ac:dyDescent="0.3">
      <c r="A126" s="45">
        <v>115</v>
      </c>
      <c r="B126" s="47">
        <v>3</v>
      </c>
      <c r="C126" s="121" t="str">
        <f t="shared" si="34"/>
        <v>*GER19980825</v>
      </c>
      <c r="D126" s="122" t="str">
        <f t="shared" si="35"/>
        <v>CARMESIN Johannes</v>
      </c>
      <c r="E126" s="123" t="str">
        <f t="shared" si="36"/>
        <v>RSC COTTBUS</v>
      </c>
      <c r="F126" s="124" t="str">
        <f t="shared" si="37"/>
        <v>BRA044498</v>
      </c>
      <c r="G126" s="125" t="str">
        <f t="shared" si="38"/>
        <v>JUNIOR *</v>
      </c>
      <c r="H126" s="125" t="str">
        <f t="shared" si="39"/>
        <v>COT</v>
      </c>
      <c r="I126" s="141">
        <v>8.9189814814814819E-2</v>
      </c>
      <c r="J126" s="70">
        <f t="shared" si="30"/>
        <v>1.0937500000000003E-2</v>
      </c>
      <c r="K126" s="70">
        <f t="shared" si="31"/>
        <v>0</v>
      </c>
      <c r="M126" s="70"/>
      <c r="N126" s="70"/>
      <c r="O126" s="70"/>
      <c r="P126" s="142">
        <f t="shared" si="33"/>
        <v>8.519675925925925E-2</v>
      </c>
      <c r="R126" s="143">
        <v>116</v>
      </c>
      <c r="S126" s="144">
        <v>115</v>
      </c>
      <c r="T126" s="138">
        <f t="shared" si="41"/>
        <v>116</v>
      </c>
      <c r="U126" s="145">
        <v>1</v>
      </c>
      <c r="V126" s="146">
        <v>142</v>
      </c>
      <c r="W126" s="138">
        <f t="shared" si="40"/>
        <v>1</v>
      </c>
    </row>
    <row r="127" spans="1:23" s="127" customFormat="1" ht="13.65" customHeight="1" x14ac:dyDescent="0.3">
      <c r="A127" s="45">
        <v>116</v>
      </c>
      <c r="B127" s="47">
        <v>74</v>
      </c>
      <c r="C127" s="121" t="str">
        <f t="shared" si="34"/>
        <v>*CZE19980303</v>
      </c>
      <c r="D127" s="122" t="str">
        <f t="shared" si="35"/>
        <v xml:space="preserve">KOUDELA Dominik </v>
      </c>
      <c r="E127" s="123" t="str">
        <f t="shared" si="36"/>
        <v xml:space="preserve">MIX2  - TJ KOVO PRAHA </v>
      </c>
      <c r="F127" s="124">
        <f t="shared" si="37"/>
        <v>13590</v>
      </c>
      <c r="G127" s="125" t="str">
        <f t="shared" si="38"/>
        <v>JUNIOR *</v>
      </c>
      <c r="H127" s="125" t="str">
        <f t="shared" si="39"/>
        <v>KOV</v>
      </c>
      <c r="I127" s="141">
        <v>8.9189814814814819E-2</v>
      </c>
      <c r="J127" s="70">
        <f t="shared" ref="J127:J158" si="42">I127-$I$12</f>
        <v>1.0937500000000003E-2</v>
      </c>
      <c r="K127" s="70">
        <f t="shared" si="31"/>
        <v>0</v>
      </c>
      <c r="M127" s="70"/>
      <c r="N127" s="70"/>
      <c r="O127" s="70"/>
      <c r="P127" s="142">
        <f t="shared" si="33"/>
        <v>8.6249999999999993E-2</v>
      </c>
      <c r="R127" s="143">
        <v>40</v>
      </c>
      <c r="S127" s="144">
        <v>116</v>
      </c>
      <c r="T127" s="138">
        <f t="shared" si="41"/>
        <v>40</v>
      </c>
      <c r="U127" s="145">
        <v>1</v>
      </c>
      <c r="V127" s="146">
        <v>143</v>
      </c>
      <c r="W127" s="138">
        <f t="shared" si="40"/>
        <v>1</v>
      </c>
    </row>
    <row r="128" spans="1:23" s="127" customFormat="1" ht="13.65" customHeight="1" x14ac:dyDescent="0.3">
      <c r="A128" s="45">
        <v>117</v>
      </c>
      <c r="B128" s="47">
        <v>5</v>
      </c>
      <c r="C128" s="121" t="str">
        <f t="shared" si="34"/>
        <v>*GER19980601</v>
      </c>
      <c r="D128" s="122" t="str">
        <f t="shared" si="35"/>
        <v>RUDYS Paul</v>
      </c>
      <c r="E128" s="123" t="str">
        <f t="shared" si="36"/>
        <v>RSC COTTBUS</v>
      </c>
      <c r="F128" s="124" t="str">
        <f t="shared" si="37"/>
        <v>BRA062804</v>
      </c>
      <c r="G128" s="125" t="str">
        <f t="shared" si="38"/>
        <v>JUNIOR *</v>
      </c>
      <c r="H128" s="125" t="str">
        <f t="shared" si="39"/>
        <v>COT</v>
      </c>
      <c r="I128" s="141">
        <v>8.9363425925925929E-2</v>
      </c>
      <c r="J128" s="70">
        <f t="shared" si="42"/>
        <v>1.1111111111111113E-2</v>
      </c>
      <c r="K128" s="70">
        <f t="shared" si="31"/>
        <v>0</v>
      </c>
      <c r="M128" s="70"/>
      <c r="N128" s="70"/>
      <c r="O128" s="70"/>
      <c r="P128" s="142">
        <f t="shared" si="33"/>
        <v>8.7592592592592597E-2</v>
      </c>
      <c r="R128" s="143">
        <v>7</v>
      </c>
      <c r="S128" s="144">
        <v>117</v>
      </c>
      <c r="T128" s="138">
        <f t="shared" si="41"/>
        <v>7</v>
      </c>
      <c r="U128" s="145">
        <v>1</v>
      </c>
      <c r="V128" s="146">
        <v>144</v>
      </c>
      <c r="W128" s="138">
        <f t="shared" si="40"/>
        <v>1</v>
      </c>
    </row>
    <row r="129" spans="1:23" s="127" customFormat="1" ht="13.65" customHeight="1" x14ac:dyDescent="0.3">
      <c r="A129" s="45">
        <v>118</v>
      </c>
      <c r="B129" s="47">
        <v>36</v>
      </c>
      <c r="C129" s="121" t="str">
        <f t="shared" si="34"/>
        <v>GER19990128*</v>
      </c>
      <c r="D129" s="122" t="str">
        <f t="shared" si="35"/>
        <v>KLUGE Felix</v>
      </c>
      <c r="E129" s="123" t="str">
        <f t="shared" si="36"/>
        <v>JUNIOREN SCHWALBE TEAM SACHSEN</v>
      </c>
      <c r="F129" s="124" t="str">
        <f t="shared" si="37"/>
        <v>SAC136049</v>
      </c>
      <c r="G129" s="125" t="str">
        <f t="shared" si="38"/>
        <v>CADET</v>
      </c>
      <c r="H129" s="125" t="str">
        <f t="shared" si="39"/>
        <v>SAC</v>
      </c>
      <c r="I129" s="141">
        <v>8.9444444444444438E-2</v>
      </c>
      <c r="J129" s="70">
        <f t="shared" si="42"/>
        <v>1.1192129629629621E-2</v>
      </c>
      <c r="K129" s="70">
        <f t="shared" si="31"/>
        <v>0</v>
      </c>
      <c r="M129" s="70"/>
      <c r="N129" s="70"/>
      <c r="O129" s="70"/>
      <c r="P129" s="142">
        <f t="shared" si="33"/>
        <v>8.8981481481481481E-2</v>
      </c>
      <c r="R129" s="143">
        <v>93</v>
      </c>
      <c r="S129" s="144">
        <v>118</v>
      </c>
      <c r="T129" s="138">
        <f t="shared" si="41"/>
        <v>93</v>
      </c>
      <c r="U129" s="145">
        <v>1</v>
      </c>
      <c r="V129" s="146">
        <v>145</v>
      </c>
      <c r="W129" s="138">
        <f t="shared" si="40"/>
        <v>1</v>
      </c>
    </row>
    <row r="130" spans="1:23" s="127" customFormat="1" ht="13.65" customHeight="1" x14ac:dyDescent="0.3">
      <c r="A130" s="45">
        <v>119</v>
      </c>
      <c r="B130" s="47">
        <v>119</v>
      </c>
      <c r="C130" s="121" t="str">
        <f t="shared" si="34"/>
        <v>CZE19990706*</v>
      </c>
      <c r="D130" s="122" t="str">
        <f t="shared" si="35"/>
        <v xml:space="preserve">TUHÝ Jan </v>
      </c>
      <c r="E130" s="123" t="str">
        <f t="shared" si="36"/>
        <v xml:space="preserve">MIX3 - TJ ZČE CYKLISTIKA PLZEŇ </v>
      </c>
      <c r="F130" s="124">
        <f t="shared" si="37"/>
        <v>19421</v>
      </c>
      <c r="G130" s="125" t="str">
        <f t="shared" si="38"/>
        <v>CADET</v>
      </c>
      <c r="H130" s="125" t="str">
        <f t="shared" si="39"/>
        <v>CPP</v>
      </c>
      <c r="I130" s="141">
        <v>8.9791666666666659E-2</v>
      </c>
      <c r="J130" s="70">
        <f t="shared" si="42"/>
        <v>1.1539351851851842E-2</v>
      </c>
      <c r="K130" s="70">
        <f t="shared" si="31"/>
        <v>0</v>
      </c>
      <c r="M130" s="70"/>
      <c r="N130" s="70"/>
      <c r="O130" s="70"/>
      <c r="P130" s="142">
        <f t="shared" si="33"/>
        <v>8.8981481481481481E-2</v>
      </c>
      <c r="R130" s="143">
        <v>3</v>
      </c>
      <c r="S130" s="144">
        <v>119</v>
      </c>
      <c r="T130" s="138">
        <f t="shared" si="41"/>
        <v>3</v>
      </c>
      <c r="U130" s="145">
        <v>1</v>
      </c>
      <c r="V130" s="146">
        <v>146</v>
      </c>
      <c r="W130" s="138">
        <f t="shared" si="40"/>
        <v>1</v>
      </c>
    </row>
    <row r="131" spans="1:23" s="127" customFormat="1" ht="13.65" customHeight="1" x14ac:dyDescent="0.3">
      <c r="A131" s="45">
        <v>120</v>
      </c>
      <c r="B131" s="47">
        <v>55</v>
      </c>
      <c r="C131" s="121" t="str">
        <f t="shared" si="34"/>
        <v>CZE19971111</v>
      </c>
      <c r="D131" s="122" t="str">
        <f t="shared" si="35"/>
        <v>VÁVRA Marek</v>
      </c>
      <c r="E131" s="123" t="str">
        <f t="shared" si="36"/>
        <v>MIX1 - ACK STARÁ VES NAD ONDŘEJNICÍ</v>
      </c>
      <c r="F131" s="124">
        <f t="shared" si="37"/>
        <v>20625</v>
      </c>
      <c r="G131" s="125" t="str">
        <f t="shared" si="38"/>
        <v xml:space="preserve">JUNIOR </v>
      </c>
      <c r="H131" s="125" t="str">
        <f t="shared" si="39"/>
        <v>SLZ</v>
      </c>
      <c r="I131" s="141">
        <v>9.1921296296296293E-2</v>
      </c>
      <c r="J131" s="70">
        <f t="shared" si="42"/>
        <v>1.3668981481481476E-2</v>
      </c>
      <c r="K131" s="70">
        <f t="shared" si="31"/>
        <v>0</v>
      </c>
      <c r="M131" s="70"/>
      <c r="N131" s="70"/>
      <c r="O131" s="70"/>
      <c r="P131" s="142">
        <f t="shared" si="33"/>
        <v>8.8981481481481481E-2</v>
      </c>
      <c r="R131" s="143">
        <v>74</v>
      </c>
      <c r="S131" s="144">
        <v>120</v>
      </c>
      <c r="T131" s="138">
        <f t="shared" si="41"/>
        <v>74</v>
      </c>
      <c r="U131" s="145">
        <v>1</v>
      </c>
      <c r="V131" s="146">
        <v>147</v>
      </c>
      <c r="W131" s="138">
        <f t="shared" si="40"/>
        <v>1</v>
      </c>
    </row>
    <row r="132" spans="1:23" s="127" customFormat="1" ht="13.65" customHeight="1" x14ac:dyDescent="0.3">
      <c r="A132" s="45">
        <v>121</v>
      </c>
      <c r="B132" s="47">
        <v>19</v>
      </c>
      <c r="C132" s="121" t="str">
        <f t="shared" si="34"/>
        <v>GER19990212*</v>
      </c>
      <c r="D132" s="122" t="str">
        <f t="shared" si="35"/>
        <v>WELLENDORF Lukas</v>
      </c>
      <c r="E132" s="123" t="str">
        <f t="shared" si="36"/>
        <v>THÜRINGER RADSPORT VERBAND</v>
      </c>
      <c r="F132" s="124" t="str">
        <f t="shared" si="37"/>
        <v>THÜ173400</v>
      </c>
      <c r="G132" s="125" t="str">
        <f t="shared" si="38"/>
        <v>CADET</v>
      </c>
      <c r="H132" s="125" t="str">
        <f t="shared" si="39"/>
        <v>THU</v>
      </c>
      <c r="I132" s="141">
        <v>9.1921296296296293E-2</v>
      </c>
      <c r="J132" s="70">
        <f t="shared" si="42"/>
        <v>1.3668981481481476E-2</v>
      </c>
      <c r="K132" s="70">
        <f t="shared" si="31"/>
        <v>0</v>
      </c>
      <c r="M132" s="70"/>
      <c r="N132" s="70"/>
      <c r="O132" s="70"/>
      <c r="P132" s="142">
        <f t="shared" si="33"/>
        <v>8.9189814814814819E-2</v>
      </c>
      <c r="R132" s="143">
        <v>5</v>
      </c>
      <c r="S132" s="144">
        <v>121</v>
      </c>
      <c r="T132" s="138">
        <f t="shared" si="41"/>
        <v>5</v>
      </c>
      <c r="U132" s="145">
        <v>1</v>
      </c>
      <c r="V132" s="146">
        <v>148</v>
      </c>
      <c r="W132" s="138">
        <f t="shared" si="40"/>
        <v>1</v>
      </c>
    </row>
    <row r="133" spans="1:23" s="127" customFormat="1" ht="13.65" customHeight="1" x14ac:dyDescent="0.3">
      <c r="A133" s="45">
        <v>122</v>
      </c>
      <c r="B133" s="47">
        <v>144</v>
      </c>
      <c r="C133" s="121" t="str">
        <f t="shared" si="34"/>
        <v>*SVK19981014</v>
      </c>
      <c r="D133" s="122" t="str">
        <f t="shared" si="35"/>
        <v>PERSON Tomáš</v>
      </c>
      <c r="E133" s="123" t="str">
        <f t="shared" si="36"/>
        <v>MIX6 - CYKLISTICKÝ SPOLOK ŽILINA</v>
      </c>
      <c r="F133" s="124" t="str">
        <f t="shared" si="37"/>
        <v>S 4322</v>
      </c>
      <c r="G133" s="125" t="str">
        <f t="shared" si="38"/>
        <v>JUNIOR *</v>
      </c>
      <c r="H133" s="125" t="str">
        <f t="shared" si="39"/>
        <v>FAV</v>
      </c>
      <c r="I133" s="141">
        <v>9.1921296296296293E-2</v>
      </c>
      <c r="J133" s="70">
        <f t="shared" si="42"/>
        <v>1.3668981481481476E-2</v>
      </c>
      <c r="K133" s="70">
        <f t="shared" si="31"/>
        <v>0</v>
      </c>
      <c r="M133" s="70"/>
      <c r="N133" s="70"/>
      <c r="O133" s="70"/>
      <c r="P133" s="142">
        <f t="shared" si="33"/>
        <v>8.9189814814814819E-2</v>
      </c>
      <c r="R133" s="143">
        <v>36</v>
      </c>
      <c r="S133" s="144">
        <v>122</v>
      </c>
      <c r="T133" s="138">
        <f t="shared" si="41"/>
        <v>36</v>
      </c>
      <c r="U133" s="145">
        <v>1</v>
      </c>
      <c r="V133" s="146">
        <v>149</v>
      </c>
      <c r="W133" s="138">
        <f t="shared" si="40"/>
        <v>0</v>
      </c>
    </row>
    <row r="134" spans="1:23" s="127" customFormat="1" ht="13.65" customHeight="1" x14ac:dyDescent="0.3">
      <c r="A134" s="45">
        <v>123</v>
      </c>
      <c r="B134" s="47">
        <v>17</v>
      </c>
      <c r="C134" s="121" t="str">
        <f t="shared" si="34"/>
        <v>GER19991107*</v>
      </c>
      <c r="D134" s="122" t="str">
        <f t="shared" si="35"/>
        <v>ASCHENBRENNER Michel</v>
      </c>
      <c r="E134" s="123" t="str">
        <f t="shared" si="36"/>
        <v>THÜRINGER RADSPORT VERBAND</v>
      </c>
      <c r="F134" s="124" t="str">
        <f t="shared" si="37"/>
        <v>THÜ173666</v>
      </c>
      <c r="G134" s="125" t="str">
        <f t="shared" si="38"/>
        <v>CADET</v>
      </c>
      <c r="H134" s="125" t="str">
        <f t="shared" si="39"/>
        <v>THU</v>
      </c>
      <c r="I134" s="141">
        <v>9.1921296296296293E-2</v>
      </c>
      <c r="J134" s="70">
        <f t="shared" si="42"/>
        <v>1.3668981481481476E-2</v>
      </c>
      <c r="K134" s="70">
        <f t="shared" si="31"/>
        <v>0</v>
      </c>
      <c r="M134" s="70"/>
      <c r="N134" s="70"/>
      <c r="O134" s="70"/>
      <c r="P134" s="142">
        <f t="shared" si="33"/>
        <v>8.9189814814814819E-2</v>
      </c>
      <c r="R134" s="143">
        <v>119</v>
      </c>
      <c r="S134" s="144">
        <v>123</v>
      </c>
      <c r="T134" s="138">
        <f t="shared" si="41"/>
        <v>119</v>
      </c>
      <c r="U134" s="145">
        <v>1</v>
      </c>
      <c r="V134" s="146">
        <v>150</v>
      </c>
      <c r="W134" s="138">
        <f t="shared" si="40"/>
        <v>1</v>
      </c>
    </row>
    <row r="135" spans="1:23" s="127" customFormat="1" ht="13.65" customHeight="1" x14ac:dyDescent="0.3">
      <c r="A135" s="45">
        <v>124</v>
      </c>
      <c r="B135" s="47">
        <v>140</v>
      </c>
      <c r="C135" s="121" t="str">
        <f t="shared" si="34"/>
        <v>POL19970228</v>
      </c>
      <c r="D135" s="122" t="str">
        <f t="shared" si="35"/>
        <v>SKIBIŃSKI Krzysztof</v>
      </c>
      <c r="E135" s="123" t="str">
        <f t="shared" si="36"/>
        <v>MIX5 - DSR AUTHOR GÓRNIK WAŁBRZYCH</v>
      </c>
      <c r="F135" s="124" t="str">
        <f t="shared" si="37"/>
        <v>DLS186</v>
      </c>
      <c r="G135" s="125" t="str">
        <f t="shared" si="38"/>
        <v xml:space="preserve">JUNIOR </v>
      </c>
      <c r="H135" s="125" t="str">
        <f t="shared" si="39"/>
        <v>SGT</v>
      </c>
      <c r="I135" s="141">
        <v>9.1921296296296293E-2</v>
      </c>
      <c r="J135" s="70">
        <f t="shared" si="42"/>
        <v>1.3668981481481476E-2</v>
      </c>
      <c r="K135" s="70">
        <f t="shared" si="31"/>
        <v>0</v>
      </c>
      <c r="M135" s="70"/>
      <c r="N135" s="70"/>
      <c r="O135" s="70"/>
      <c r="P135" s="142">
        <f t="shared" si="33"/>
        <v>8.9189814814814819E-2</v>
      </c>
      <c r="R135" s="143">
        <v>55</v>
      </c>
      <c r="S135" s="144">
        <v>124</v>
      </c>
      <c r="T135" s="138">
        <f t="shared" si="41"/>
        <v>55</v>
      </c>
      <c r="U135" s="145">
        <v>1</v>
      </c>
      <c r="V135" s="146">
        <v>151</v>
      </c>
      <c r="W135" s="138">
        <f t="shared" si="40"/>
        <v>1</v>
      </c>
    </row>
    <row r="136" spans="1:23" s="127" customFormat="1" ht="13.65" customHeight="1" x14ac:dyDescent="0.3">
      <c r="A136" s="45">
        <v>125</v>
      </c>
      <c r="B136" s="47">
        <v>159</v>
      </c>
      <c r="C136" s="121" t="str">
        <f t="shared" si="34"/>
        <v>POL19990202*</v>
      </c>
      <c r="D136" s="122" t="str">
        <f t="shared" si="35"/>
        <v>KUŚ Adam</v>
      </c>
      <c r="E136" s="123" t="str">
        <f t="shared" si="36"/>
        <v>MIX7 - MLKS WIELUŃ</v>
      </c>
      <c r="F136" s="124" t="str">
        <f t="shared" si="37"/>
        <v>LOD006</v>
      </c>
      <c r="G136" s="125" t="str">
        <f t="shared" si="38"/>
        <v>CADET</v>
      </c>
      <c r="H136" s="125" t="str">
        <f t="shared" si="39"/>
        <v>RLM</v>
      </c>
      <c r="I136" s="141">
        <v>9.1921296296296293E-2</v>
      </c>
      <c r="J136" s="70">
        <f t="shared" si="42"/>
        <v>1.3668981481481476E-2</v>
      </c>
      <c r="K136" s="70">
        <f t="shared" si="31"/>
        <v>0</v>
      </c>
      <c r="M136" s="70"/>
      <c r="N136" s="70"/>
      <c r="O136" s="70"/>
      <c r="P136" s="142">
        <f t="shared" si="33"/>
        <v>8.9189814814814819E-2</v>
      </c>
      <c r="R136" s="143">
        <v>19</v>
      </c>
      <c r="S136" s="144">
        <v>125</v>
      </c>
      <c r="T136" s="138">
        <f t="shared" si="41"/>
        <v>19</v>
      </c>
      <c r="U136" s="145">
        <v>1</v>
      </c>
      <c r="V136" s="146">
        <v>152</v>
      </c>
      <c r="W136" s="138">
        <f t="shared" si="40"/>
        <v>1</v>
      </c>
    </row>
    <row r="137" spans="1:23" s="127" customFormat="1" ht="13.65" customHeight="1" x14ac:dyDescent="0.3">
      <c r="A137" s="45">
        <v>126</v>
      </c>
      <c r="B137" s="47">
        <v>198</v>
      </c>
      <c r="C137" s="121" t="str">
        <f t="shared" si="34"/>
        <v>SVK19991205*</v>
      </c>
      <c r="D137" s="122" t="str">
        <f t="shared" si="35"/>
        <v>VRANKO Daniel</v>
      </c>
      <c r="E137" s="123" t="str">
        <f t="shared" si="36"/>
        <v>MIX8 - CK KARPATY SMOLENICE</v>
      </c>
      <c r="F137" s="124" t="str">
        <f t="shared" si="37"/>
        <v>S 7449</v>
      </c>
      <c r="G137" s="125" t="str">
        <f t="shared" si="38"/>
        <v>CADET</v>
      </c>
      <c r="H137" s="125" t="str">
        <f t="shared" si="39"/>
        <v>SDL</v>
      </c>
      <c r="I137" s="141">
        <v>9.1921296296296293E-2</v>
      </c>
      <c r="J137" s="70">
        <f t="shared" si="42"/>
        <v>1.3668981481481476E-2</v>
      </c>
      <c r="K137" s="70">
        <f t="shared" si="31"/>
        <v>0</v>
      </c>
      <c r="M137" s="70"/>
      <c r="N137" s="70"/>
      <c r="O137" s="70"/>
      <c r="P137" s="142">
        <f t="shared" si="33"/>
        <v>8.9189814814814819E-2</v>
      </c>
      <c r="R137" s="143">
        <v>144</v>
      </c>
      <c r="S137" s="144">
        <v>126</v>
      </c>
      <c r="T137" s="138">
        <f t="shared" si="41"/>
        <v>144</v>
      </c>
      <c r="U137" s="145">
        <v>1</v>
      </c>
      <c r="V137" s="146">
        <v>153</v>
      </c>
      <c r="W137" s="138">
        <f t="shared" si="40"/>
        <v>1</v>
      </c>
    </row>
    <row r="138" spans="1:23" s="127" customFormat="1" ht="13.65" customHeight="1" x14ac:dyDescent="0.3">
      <c r="A138" s="45">
        <v>127</v>
      </c>
      <c r="B138" s="47">
        <v>115</v>
      </c>
      <c r="C138" s="121" t="str">
        <f t="shared" si="34"/>
        <v>*CZE19980802</v>
      </c>
      <c r="D138" s="122" t="str">
        <f t="shared" si="35"/>
        <v xml:space="preserve">CHARALAMBIDIS Denis </v>
      </c>
      <c r="E138" s="123" t="str">
        <f t="shared" si="36"/>
        <v xml:space="preserve">MIX3 - CK PŘÍBRAM - FANY GASTRO </v>
      </c>
      <c r="F138" s="124">
        <f t="shared" si="37"/>
        <v>9185</v>
      </c>
      <c r="G138" s="125" t="str">
        <f t="shared" si="38"/>
        <v>JUNIOR *</v>
      </c>
      <c r="H138" s="125" t="str">
        <f t="shared" si="39"/>
        <v>CPP</v>
      </c>
      <c r="I138" s="141">
        <v>0.10581018518518519</v>
      </c>
      <c r="J138" s="70">
        <f t="shared" si="42"/>
        <v>2.7557870370370371E-2</v>
      </c>
      <c r="K138" s="70">
        <f t="shared" ref="K138:K148" si="43">M95+N95</f>
        <v>0</v>
      </c>
      <c r="M138" s="70"/>
      <c r="N138" s="70"/>
      <c r="O138" s="70"/>
      <c r="P138" s="142">
        <f t="shared" si="33"/>
        <v>8.9189814814814819E-2</v>
      </c>
      <c r="R138" s="143">
        <v>17</v>
      </c>
      <c r="S138" s="144">
        <v>127</v>
      </c>
      <c r="T138" s="138">
        <f t="shared" si="41"/>
        <v>17</v>
      </c>
      <c r="U138" s="145">
        <v>1</v>
      </c>
      <c r="V138" s="146">
        <v>154</v>
      </c>
      <c r="W138" s="138">
        <f t="shared" si="40"/>
        <v>1</v>
      </c>
    </row>
    <row r="139" spans="1:23" s="127" customFormat="1" ht="13.65" customHeight="1" x14ac:dyDescent="0.3">
      <c r="A139" s="45">
        <v>128</v>
      </c>
      <c r="B139" s="47">
        <v>96</v>
      </c>
      <c r="C139" s="121" t="str">
        <f t="shared" si="34"/>
        <v>GER19971221</v>
      </c>
      <c r="D139" s="122" t="str">
        <f t="shared" si="35"/>
        <v>BAUMANN Kian</v>
      </c>
      <c r="E139" s="123" t="str">
        <f t="shared" si="36"/>
        <v>RG BERLIN</v>
      </c>
      <c r="F139" s="124" t="str">
        <f t="shared" si="37"/>
        <v>BRE051095</v>
      </c>
      <c r="G139" s="125" t="str">
        <f t="shared" si="38"/>
        <v>JUNIOR</v>
      </c>
      <c r="H139" s="125" t="str">
        <f t="shared" si="39"/>
        <v>RGB</v>
      </c>
      <c r="I139" s="141">
        <v>0.10581018518518519</v>
      </c>
      <c r="J139" s="70">
        <f t="shared" si="42"/>
        <v>2.7557870370370371E-2</v>
      </c>
      <c r="K139" s="70">
        <f t="shared" si="43"/>
        <v>0</v>
      </c>
      <c r="M139" s="70"/>
      <c r="N139" s="70"/>
      <c r="O139" s="70"/>
      <c r="P139" s="142">
        <f t="shared" si="33"/>
        <v>8.9363425925925929E-2</v>
      </c>
      <c r="R139" s="143">
        <v>140</v>
      </c>
      <c r="S139" s="144">
        <v>128</v>
      </c>
      <c r="T139" s="138">
        <f t="shared" si="41"/>
        <v>140</v>
      </c>
      <c r="U139" s="145">
        <v>1</v>
      </c>
      <c r="V139" s="146">
        <v>155</v>
      </c>
      <c r="W139" s="138">
        <f t="shared" si="40"/>
        <v>1</v>
      </c>
    </row>
    <row r="140" spans="1:23" s="127" customFormat="1" ht="13.65" customHeight="1" x14ac:dyDescent="0.3">
      <c r="A140" s="45">
        <v>129</v>
      </c>
      <c r="B140" s="47">
        <v>142</v>
      </c>
      <c r="C140" s="121" t="str">
        <f t="shared" ref="C140:C171" si="44">VLOOKUP(B140,STARTOVKA,2,0)</f>
        <v>SVK20000502*</v>
      </c>
      <c r="D140" s="122" t="str">
        <f t="shared" ref="D140:D159" si="45">VLOOKUP(B140,STARTOVKA,3,0)</f>
        <v>BUČKO Adam</v>
      </c>
      <c r="E140" s="123" t="str">
        <f t="shared" ref="E140:E159" si="46">VLOOKUP(B140,STARTOVKA,4,0)</f>
        <v>MIX6 - CYKLISTICKÝ SPOLOK ŽILINA</v>
      </c>
      <c r="F140" s="124" t="str">
        <f t="shared" ref="F140:F159" si="47">VLOOKUP(B140,STARTOVKA,5,0)</f>
        <v>S 7046</v>
      </c>
      <c r="G140" s="125" t="str">
        <f t="shared" ref="G140:G159" si="48">VLOOKUP(B140,STARTOVKA,6,0)</f>
        <v>CADET</v>
      </c>
      <c r="H140" s="125" t="str">
        <f t="shared" ref="H140:H159" si="49">VLOOKUP(B140,STARTOVKA,7,0)</f>
        <v>FAV</v>
      </c>
      <c r="I140" s="141">
        <v>0.10581018518518519</v>
      </c>
      <c r="J140" s="70">
        <f t="shared" si="42"/>
        <v>2.7557870370370371E-2</v>
      </c>
      <c r="K140" s="70">
        <f t="shared" si="43"/>
        <v>0</v>
      </c>
      <c r="M140" s="70"/>
      <c r="N140" s="70"/>
      <c r="O140" s="70"/>
      <c r="P140" s="142">
        <f t="shared" si="33"/>
        <v>8.9444444444444438E-2</v>
      </c>
      <c r="R140" s="143">
        <v>159</v>
      </c>
      <c r="S140" s="144">
        <v>129</v>
      </c>
      <c r="T140" s="138">
        <f t="shared" si="41"/>
        <v>159</v>
      </c>
      <c r="U140" s="145">
        <v>1</v>
      </c>
      <c r="V140" s="146">
        <v>156</v>
      </c>
      <c r="W140" s="138">
        <f t="shared" ref="W140:W171" si="50">SUMIF(T:T,V:V,U:U)</f>
        <v>1</v>
      </c>
    </row>
    <row r="141" spans="1:23" s="127" customFormat="1" ht="13.65" customHeight="1" x14ac:dyDescent="0.3">
      <c r="A141" s="45">
        <v>130</v>
      </c>
      <c r="B141" s="47">
        <v>42</v>
      </c>
      <c r="C141" s="121" t="str">
        <f t="shared" si="44"/>
        <v>CZE19990122*</v>
      </c>
      <c r="D141" s="122" t="str">
        <f t="shared" si="45"/>
        <v xml:space="preserve">KABRHEL Milan </v>
      </c>
      <c r="E141" s="123" t="str">
        <f t="shared" si="46"/>
        <v xml:space="preserve">SKC TUFO PROSTĚJOV </v>
      </c>
      <c r="F141" s="124">
        <f t="shared" si="47"/>
        <v>3713</v>
      </c>
      <c r="G141" s="125" t="str">
        <f t="shared" si="48"/>
        <v>CADET</v>
      </c>
      <c r="H141" s="125" t="str">
        <f t="shared" si="49"/>
        <v>STP</v>
      </c>
      <c r="I141" s="141">
        <v>0.10581018518518519</v>
      </c>
      <c r="J141" s="70">
        <f t="shared" si="42"/>
        <v>2.7557870370370371E-2</v>
      </c>
      <c r="K141" s="70">
        <f t="shared" si="43"/>
        <v>0</v>
      </c>
      <c r="M141" s="70"/>
      <c r="N141" s="70"/>
      <c r="O141" s="70"/>
      <c r="P141" s="142">
        <f t="shared" si="33"/>
        <v>8.9791666666666659E-2</v>
      </c>
      <c r="R141" s="143">
        <v>198</v>
      </c>
      <c r="S141" s="144">
        <v>130</v>
      </c>
      <c r="T141" s="138">
        <f t="shared" si="41"/>
        <v>198</v>
      </c>
      <c r="U141" s="145">
        <v>1</v>
      </c>
      <c r="V141" s="146">
        <v>157</v>
      </c>
      <c r="W141" s="138">
        <f t="shared" si="50"/>
        <v>1</v>
      </c>
    </row>
    <row r="142" spans="1:23" s="127" customFormat="1" ht="13.65" customHeight="1" x14ac:dyDescent="0.3">
      <c r="A142" s="45">
        <v>131</v>
      </c>
      <c r="B142" s="47">
        <v>193</v>
      </c>
      <c r="C142" s="121" t="str">
        <f t="shared" si="44"/>
        <v>CZE20000328*</v>
      </c>
      <c r="D142" s="122" t="str">
        <f t="shared" si="45"/>
        <v xml:space="preserve">ROTTER Michal </v>
      </c>
      <c r="E142" s="123" t="str">
        <f t="shared" si="46"/>
        <v xml:space="preserve">MIX8 - SKP DUHA FORT LANŠKROUN </v>
      </c>
      <c r="F142" s="124">
        <f t="shared" si="47"/>
        <v>10354</v>
      </c>
      <c r="G142" s="125" t="str">
        <f t="shared" si="48"/>
        <v>CADET</v>
      </c>
      <c r="H142" s="125" t="str">
        <f t="shared" si="49"/>
        <v>SDL</v>
      </c>
      <c r="I142" s="141">
        <v>0.10581018518518519</v>
      </c>
      <c r="J142" s="70">
        <f t="shared" si="42"/>
        <v>2.7557870370370371E-2</v>
      </c>
      <c r="K142" s="70">
        <f t="shared" si="43"/>
        <v>0</v>
      </c>
      <c r="M142" s="70"/>
      <c r="N142" s="70"/>
      <c r="O142" s="70"/>
      <c r="P142" s="142">
        <f t="shared" si="33"/>
        <v>9.1921296296296293E-2</v>
      </c>
      <c r="R142" s="143">
        <v>193</v>
      </c>
      <c r="S142" s="144">
        <v>131</v>
      </c>
      <c r="T142" s="138">
        <f t="shared" si="41"/>
        <v>193</v>
      </c>
      <c r="U142" s="145">
        <v>1</v>
      </c>
      <c r="V142" s="146">
        <v>158</v>
      </c>
      <c r="W142" s="138">
        <f t="shared" si="50"/>
        <v>1</v>
      </c>
    </row>
    <row r="143" spans="1:23" s="127" customFormat="1" ht="13.65" customHeight="1" x14ac:dyDescent="0.3">
      <c r="A143" s="45">
        <v>132</v>
      </c>
      <c r="B143" s="47">
        <v>194</v>
      </c>
      <c r="C143" s="121" t="str">
        <f t="shared" si="44"/>
        <v>CZE20001026*</v>
      </c>
      <c r="D143" s="122" t="str">
        <f t="shared" si="45"/>
        <v>ANDRLE David</v>
      </c>
      <c r="E143" s="123" t="str">
        <f t="shared" si="46"/>
        <v xml:space="preserve">MIX8 - SKP DUHA FORT LANŠKROUN </v>
      </c>
      <c r="F143" s="124">
        <f t="shared" si="47"/>
        <v>8356</v>
      </c>
      <c r="G143" s="125" t="str">
        <f t="shared" si="48"/>
        <v>CADET</v>
      </c>
      <c r="H143" s="125" t="str">
        <f t="shared" si="49"/>
        <v>SDL</v>
      </c>
      <c r="I143" s="141">
        <v>0.10581018518518519</v>
      </c>
      <c r="J143" s="70">
        <f t="shared" si="42"/>
        <v>2.7557870370370371E-2</v>
      </c>
      <c r="K143" s="70">
        <f t="shared" si="43"/>
        <v>0</v>
      </c>
      <c r="M143" s="70"/>
      <c r="N143" s="70"/>
      <c r="O143" s="70"/>
      <c r="P143" s="142">
        <f t="shared" si="33"/>
        <v>9.1921296296296293E-2</v>
      </c>
      <c r="R143" s="143">
        <v>194</v>
      </c>
      <c r="S143" s="144">
        <v>132</v>
      </c>
      <c r="T143" s="138">
        <f t="shared" si="41"/>
        <v>194</v>
      </c>
      <c r="U143" s="145">
        <v>1</v>
      </c>
      <c r="V143" s="146">
        <v>159</v>
      </c>
      <c r="W143" s="138">
        <f t="shared" si="50"/>
        <v>1</v>
      </c>
    </row>
    <row r="144" spans="1:23" s="127" customFormat="1" ht="13.65" customHeight="1" x14ac:dyDescent="0.3">
      <c r="A144" s="45">
        <v>133</v>
      </c>
      <c r="B144" s="47">
        <v>125</v>
      </c>
      <c r="C144" s="121" t="str">
        <f t="shared" si="44"/>
        <v>CZE20001207*</v>
      </c>
      <c r="D144" s="122" t="str">
        <f t="shared" si="45"/>
        <v>ČECH Martin</v>
      </c>
      <c r="E144" s="123" t="str">
        <f t="shared" si="46"/>
        <v>MIX4 - KC KOOPERATIVA SG JABLONEC N.N</v>
      </c>
      <c r="F144" s="124">
        <f t="shared" si="47"/>
        <v>14424</v>
      </c>
      <c r="G144" s="125" t="str">
        <f t="shared" si="48"/>
        <v>CADET</v>
      </c>
      <c r="H144" s="125" t="str">
        <f t="shared" si="49"/>
        <v>KOO</v>
      </c>
      <c r="I144" s="141">
        <v>0.10581018518518519</v>
      </c>
      <c r="J144" s="70">
        <f t="shared" si="42"/>
        <v>2.7557870370370371E-2</v>
      </c>
      <c r="K144" s="70">
        <f t="shared" si="43"/>
        <v>0</v>
      </c>
      <c r="M144" s="70"/>
      <c r="N144" s="70"/>
      <c r="O144" s="70"/>
      <c r="P144" s="142">
        <f t="shared" si="33"/>
        <v>9.1921296296296293E-2</v>
      </c>
      <c r="R144" s="143">
        <v>125</v>
      </c>
      <c r="S144" s="144">
        <v>133</v>
      </c>
      <c r="T144" s="138">
        <f t="shared" si="41"/>
        <v>125</v>
      </c>
      <c r="U144" s="145">
        <v>1</v>
      </c>
      <c r="V144" s="146">
        <v>160</v>
      </c>
      <c r="W144" s="138">
        <f t="shared" si="50"/>
        <v>0</v>
      </c>
    </row>
    <row r="145" spans="1:23" s="127" customFormat="1" ht="13.65" customHeight="1" x14ac:dyDescent="0.3">
      <c r="A145" s="45">
        <v>134</v>
      </c>
      <c r="B145" s="47">
        <v>195</v>
      </c>
      <c r="C145" s="121" t="str">
        <f t="shared" si="44"/>
        <v>CZE19991006*</v>
      </c>
      <c r="D145" s="122" t="str">
        <f t="shared" si="45"/>
        <v>DUS Albert</v>
      </c>
      <c r="E145" s="123" t="str">
        <f t="shared" si="46"/>
        <v xml:space="preserve">MIX8 - WHIRLPOOL AUTHOR JUNIOR TEAM </v>
      </c>
      <c r="F145" s="124">
        <f t="shared" si="47"/>
        <v>20545</v>
      </c>
      <c r="G145" s="125" t="str">
        <f t="shared" si="48"/>
        <v>CADET</v>
      </c>
      <c r="H145" s="125" t="str">
        <f t="shared" si="49"/>
        <v>SDL</v>
      </c>
      <c r="I145" s="141">
        <v>0.10581018518518519</v>
      </c>
      <c r="J145" s="70">
        <f t="shared" si="42"/>
        <v>2.7557870370370371E-2</v>
      </c>
      <c r="K145" s="70">
        <f t="shared" si="43"/>
        <v>0</v>
      </c>
      <c r="M145" s="70"/>
      <c r="N145" s="70"/>
      <c r="O145" s="70"/>
      <c r="P145" s="142">
        <f t="shared" si="33"/>
        <v>9.1921296296296293E-2</v>
      </c>
      <c r="R145" s="143">
        <v>195</v>
      </c>
      <c r="S145" s="144">
        <v>134</v>
      </c>
      <c r="T145" s="138">
        <f t="shared" si="41"/>
        <v>195</v>
      </c>
      <c r="U145" s="145">
        <v>1</v>
      </c>
      <c r="V145" s="146">
        <v>161</v>
      </c>
      <c r="W145" s="138">
        <f t="shared" si="50"/>
        <v>1</v>
      </c>
    </row>
    <row r="146" spans="1:23" s="127" customFormat="1" ht="13.65" customHeight="1" x14ac:dyDescent="0.3">
      <c r="A146" s="45">
        <v>135</v>
      </c>
      <c r="B146" s="47">
        <v>191</v>
      </c>
      <c r="C146" s="121" t="str">
        <f t="shared" si="44"/>
        <v>CZE19990916*</v>
      </c>
      <c r="D146" s="122" t="str">
        <f t="shared" si="45"/>
        <v xml:space="preserve">HAUF Jan </v>
      </c>
      <c r="E146" s="123" t="str">
        <f t="shared" si="46"/>
        <v xml:space="preserve">MIX8 - SKP DUHA FORT LANŠKROUN </v>
      </c>
      <c r="F146" s="124">
        <f t="shared" si="47"/>
        <v>20687</v>
      </c>
      <c r="G146" s="125" t="str">
        <f t="shared" si="48"/>
        <v>CADET</v>
      </c>
      <c r="H146" s="125" t="str">
        <f t="shared" si="49"/>
        <v>SDL</v>
      </c>
      <c r="I146" s="141">
        <v>0.10581018518518519</v>
      </c>
      <c r="J146" s="70">
        <f t="shared" si="42"/>
        <v>2.7557870370370371E-2</v>
      </c>
      <c r="K146" s="70">
        <f t="shared" si="43"/>
        <v>0</v>
      </c>
      <c r="M146" s="70"/>
      <c r="N146" s="70"/>
      <c r="O146" s="70"/>
      <c r="P146" s="142">
        <f t="shared" si="33"/>
        <v>9.1921296296296293E-2</v>
      </c>
      <c r="R146" s="143">
        <v>191</v>
      </c>
      <c r="S146" s="144">
        <v>135</v>
      </c>
      <c r="T146" s="138">
        <f t="shared" si="41"/>
        <v>191</v>
      </c>
      <c r="U146" s="145">
        <v>1</v>
      </c>
      <c r="V146" s="146">
        <v>162</v>
      </c>
      <c r="W146" s="138">
        <f t="shared" si="50"/>
        <v>1</v>
      </c>
    </row>
    <row r="147" spans="1:23" s="127" customFormat="1" ht="13.65" customHeight="1" x14ac:dyDescent="0.3">
      <c r="A147" s="45">
        <v>136</v>
      </c>
      <c r="B147" s="47">
        <v>196</v>
      </c>
      <c r="C147" s="121" t="str">
        <f t="shared" si="44"/>
        <v>CZE19991009*</v>
      </c>
      <c r="D147" s="122" t="str">
        <f t="shared" si="45"/>
        <v xml:space="preserve">HOLFEUER Dan </v>
      </c>
      <c r="E147" s="123" t="str">
        <f t="shared" si="46"/>
        <v xml:space="preserve">MIX8 - CK MTB MARATON HLINSKO </v>
      </c>
      <c r="F147" s="124">
        <f t="shared" si="47"/>
        <v>20258</v>
      </c>
      <c r="G147" s="125" t="str">
        <f t="shared" si="48"/>
        <v>CADET</v>
      </c>
      <c r="H147" s="125" t="str">
        <f t="shared" si="49"/>
        <v>SDL</v>
      </c>
      <c r="I147" s="141">
        <v>0.10581018518518519</v>
      </c>
      <c r="J147" s="70">
        <f t="shared" si="42"/>
        <v>2.7557870370370371E-2</v>
      </c>
      <c r="K147" s="70">
        <f t="shared" si="43"/>
        <v>0</v>
      </c>
      <c r="M147" s="70"/>
      <c r="N147" s="70"/>
      <c r="O147" s="70"/>
      <c r="P147" s="142">
        <f t="shared" si="33"/>
        <v>9.1921296296296293E-2</v>
      </c>
      <c r="R147" s="143">
        <v>196</v>
      </c>
      <c r="S147" s="144">
        <v>136</v>
      </c>
      <c r="T147" s="138">
        <f t="shared" si="41"/>
        <v>196</v>
      </c>
      <c r="U147" s="145">
        <v>1</v>
      </c>
      <c r="V147" s="146">
        <v>163</v>
      </c>
      <c r="W147" s="138">
        <f t="shared" si="50"/>
        <v>1</v>
      </c>
    </row>
    <row r="148" spans="1:23" s="127" customFormat="1" ht="13.65" customHeight="1" x14ac:dyDescent="0.3">
      <c r="A148" s="45">
        <v>137</v>
      </c>
      <c r="B148" s="47">
        <v>124</v>
      </c>
      <c r="C148" s="121" t="str">
        <f t="shared" si="44"/>
        <v>CZE19830420</v>
      </c>
      <c r="D148" s="122" t="str">
        <f t="shared" si="45"/>
        <v xml:space="preserve">HAVLÍKOVÁ Pavla </v>
      </c>
      <c r="E148" s="123" t="str">
        <f t="shared" si="46"/>
        <v xml:space="preserve">MIX4 - YOUNG TELENET FIDEA CYCLING </v>
      </c>
      <c r="F148" s="124">
        <f t="shared" si="47"/>
        <v>5778</v>
      </c>
      <c r="G148" s="125" t="str">
        <f t="shared" si="48"/>
        <v xml:space="preserve">F*ELITE </v>
      </c>
      <c r="H148" s="125" t="str">
        <f t="shared" si="49"/>
        <v>KOO</v>
      </c>
      <c r="I148" s="141">
        <v>0.10581018518518519</v>
      </c>
      <c r="J148" s="70">
        <f t="shared" si="42"/>
        <v>2.7557870370370371E-2</v>
      </c>
      <c r="K148" s="70">
        <f t="shared" si="43"/>
        <v>0</v>
      </c>
      <c r="M148" s="70"/>
      <c r="N148" s="70"/>
      <c r="O148" s="70"/>
      <c r="P148" s="142">
        <f t="shared" si="33"/>
        <v>9.1921296296296293E-2</v>
      </c>
      <c r="R148" s="143">
        <v>124</v>
      </c>
      <c r="S148" s="144">
        <v>137</v>
      </c>
      <c r="T148" s="138">
        <f t="shared" si="41"/>
        <v>124</v>
      </c>
      <c r="U148" s="145">
        <v>1</v>
      </c>
      <c r="V148" s="146">
        <v>164</v>
      </c>
      <c r="W148" s="138">
        <f t="shared" si="50"/>
        <v>0</v>
      </c>
    </row>
    <row r="149" spans="1:23" s="127" customFormat="1" ht="13.65" customHeight="1" x14ac:dyDescent="0.3">
      <c r="A149" s="45"/>
      <c r="B149" s="47">
        <v>24</v>
      </c>
      <c r="C149" s="121" t="str">
        <f t="shared" si="44"/>
        <v>CZE20001025*</v>
      </c>
      <c r="D149" s="122" t="str">
        <f t="shared" si="45"/>
        <v xml:space="preserve">KLIMEK David </v>
      </c>
      <c r="E149" s="123" t="str">
        <f t="shared" si="46"/>
        <v xml:space="preserve">MAPEI MERIDA KAŇKOVSKÝ </v>
      </c>
      <c r="F149" s="124">
        <f t="shared" si="47"/>
        <v>19957</v>
      </c>
      <c r="G149" s="125" t="str">
        <f t="shared" si="48"/>
        <v>CADET</v>
      </c>
      <c r="H149" s="125" t="str">
        <f t="shared" si="49"/>
        <v>MAP</v>
      </c>
      <c r="I149" s="141" t="s">
        <v>148</v>
      </c>
      <c r="J149" s="70"/>
      <c r="K149" s="70"/>
      <c r="M149" s="70"/>
      <c r="N149" s="70"/>
      <c r="O149" s="70"/>
      <c r="P149" s="142"/>
      <c r="R149" s="143"/>
      <c r="S149" s="144">
        <v>138</v>
      </c>
      <c r="T149" s="138" t="str">
        <f t="shared" ref="T149:T159" si="51">IF(R160&lt;&gt;"",R160,"")</f>
        <v/>
      </c>
      <c r="U149" s="145">
        <v>1</v>
      </c>
      <c r="V149" s="146">
        <v>165</v>
      </c>
      <c r="W149" s="138">
        <f t="shared" si="50"/>
        <v>1</v>
      </c>
    </row>
    <row r="150" spans="1:23" s="127" customFormat="1" ht="13.65" customHeight="1" x14ac:dyDescent="0.3">
      <c r="A150" s="45"/>
      <c r="B150" s="47">
        <v>25</v>
      </c>
      <c r="C150" s="121" t="str">
        <f t="shared" si="44"/>
        <v>CZE20000911*</v>
      </c>
      <c r="D150" s="122" t="str">
        <f t="shared" si="45"/>
        <v xml:space="preserve">KMÍNEK Vojtěch </v>
      </c>
      <c r="E150" s="123" t="str">
        <f t="shared" si="46"/>
        <v xml:space="preserve">MAPEI MERIDA KAŇKOVSKÝ </v>
      </c>
      <c r="F150" s="124">
        <f t="shared" si="47"/>
        <v>7825</v>
      </c>
      <c r="G150" s="125" t="str">
        <f t="shared" si="48"/>
        <v>CADET</v>
      </c>
      <c r="H150" s="125" t="str">
        <f t="shared" si="49"/>
        <v>MAP</v>
      </c>
      <c r="I150" s="141" t="s">
        <v>148</v>
      </c>
      <c r="J150" s="70"/>
      <c r="K150" s="70"/>
      <c r="M150" s="70"/>
      <c r="N150" s="70"/>
      <c r="O150" s="70"/>
      <c r="P150" s="142"/>
      <c r="R150" s="143"/>
      <c r="S150" s="144">
        <v>139</v>
      </c>
      <c r="T150" s="138" t="str">
        <f t="shared" si="51"/>
        <v/>
      </c>
      <c r="U150" s="145">
        <v>1</v>
      </c>
      <c r="V150" s="146">
        <v>166</v>
      </c>
      <c r="W150" s="138">
        <f t="shared" si="50"/>
        <v>1</v>
      </c>
    </row>
    <row r="151" spans="1:23" s="127" customFormat="1" ht="13.65" customHeight="1" x14ac:dyDescent="0.3">
      <c r="A151" s="45"/>
      <c r="B151" s="47">
        <v>26</v>
      </c>
      <c r="C151" s="121" t="str">
        <f t="shared" si="44"/>
        <v>*CZE19980923</v>
      </c>
      <c r="D151" s="122" t="str">
        <f t="shared" si="45"/>
        <v xml:space="preserve">KUČERA Michal </v>
      </c>
      <c r="E151" s="123" t="str">
        <f t="shared" si="46"/>
        <v xml:space="preserve">MAPEI MERIDA KAŇKOVSKÝ </v>
      </c>
      <c r="F151" s="124">
        <f t="shared" si="47"/>
        <v>12268</v>
      </c>
      <c r="G151" s="125" t="str">
        <f t="shared" si="48"/>
        <v>JUNIOR *</v>
      </c>
      <c r="H151" s="125" t="str">
        <f t="shared" si="49"/>
        <v>MAP</v>
      </c>
      <c r="I151" s="141" t="s">
        <v>148</v>
      </c>
      <c r="J151" s="70"/>
      <c r="K151" s="70"/>
      <c r="M151" s="70"/>
      <c r="N151" s="70"/>
      <c r="O151" s="70"/>
      <c r="P151" s="142"/>
      <c r="R151" s="143"/>
      <c r="S151" s="144">
        <v>140</v>
      </c>
      <c r="T151" s="138" t="str">
        <f t="shared" si="51"/>
        <v/>
      </c>
      <c r="U151" s="145">
        <v>1</v>
      </c>
      <c r="V151" s="146">
        <v>167</v>
      </c>
      <c r="W151" s="138">
        <f t="shared" si="50"/>
        <v>1</v>
      </c>
    </row>
    <row r="152" spans="1:23" s="127" customFormat="1" ht="13.65" customHeight="1" x14ac:dyDescent="0.3">
      <c r="A152" s="45"/>
      <c r="B152" s="47">
        <v>65</v>
      </c>
      <c r="C152" s="121" t="str">
        <f t="shared" si="44"/>
        <v>BEL19991005*</v>
      </c>
      <c r="D152" s="122" t="str">
        <f t="shared" si="45"/>
        <v>MARIS Elias</v>
      </c>
      <c r="E152" s="123" t="str">
        <f t="shared" si="46"/>
        <v>WAC TEAM HOBOKEN</v>
      </c>
      <c r="F152" s="124">
        <f t="shared" si="47"/>
        <v>52305</v>
      </c>
      <c r="G152" s="125" t="str">
        <f t="shared" si="48"/>
        <v>CADET</v>
      </c>
      <c r="H152" s="125" t="str">
        <f t="shared" si="49"/>
        <v>WAC</v>
      </c>
      <c r="I152" s="141" t="s">
        <v>148</v>
      </c>
      <c r="J152" s="70"/>
      <c r="K152" s="70"/>
      <c r="M152" s="70"/>
      <c r="N152" s="70"/>
      <c r="O152" s="70"/>
      <c r="P152" s="142"/>
      <c r="R152" s="143"/>
      <c r="S152" s="144">
        <v>141</v>
      </c>
      <c r="T152" s="138" t="str">
        <f t="shared" si="51"/>
        <v/>
      </c>
      <c r="U152" s="145">
        <v>1</v>
      </c>
      <c r="V152" s="146">
        <v>191</v>
      </c>
      <c r="W152" s="138">
        <f t="shared" si="50"/>
        <v>1</v>
      </c>
    </row>
    <row r="153" spans="1:23" s="127" customFormat="1" ht="13.65" customHeight="1" x14ac:dyDescent="0.3">
      <c r="A153" s="45"/>
      <c r="B153" s="47">
        <v>67</v>
      </c>
      <c r="C153" s="121" t="str">
        <f t="shared" si="44"/>
        <v>BEL19991106*</v>
      </c>
      <c r="D153" s="122" t="str">
        <f t="shared" si="45"/>
        <v>VAN OEVELEN Wanne</v>
      </c>
      <c r="E153" s="123" t="str">
        <f t="shared" si="46"/>
        <v>WAC TEAM HOBOKEN</v>
      </c>
      <c r="F153" s="124">
        <f t="shared" si="47"/>
        <v>61440</v>
      </c>
      <c r="G153" s="125" t="str">
        <f t="shared" si="48"/>
        <v>CADET</v>
      </c>
      <c r="H153" s="125" t="str">
        <f t="shared" si="49"/>
        <v>WAC</v>
      </c>
      <c r="I153" s="141" t="s">
        <v>148</v>
      </c>
      <c r="J153" s="70"/>
      <c r="K153" s="70"/>
      <c r="M153" s="70"/>
      <c r="N153" s="70"/>
      <c r="O153" s="70"/>
      <c r="P153" s="142"/>
      <c r="R153" s="143"/>
      <c r="S153" s="144">
        <v>142</v>
      </c>
      <c r="T153" s="138" t="str">
        <f t="shared" si="51"/>
        <v/>
      </c>
      <c r="U153" s="145">
        <v>1</v>
      </c>
      <c r="V153" s="146">
        <v>192</v>
      </c>
      <c r="W153" s="138">
        <f t="shared" si="50"/>
        <v>0</v>
      </c>
    </row>
    <row r="154" spans="1:23" s="127" customFormat="1" ht="13.65" customHeight="1" x14ac:dyDescent="0.3">
      <c r="A154" s="45"/>
      <c r="B154" s="47">
        <v>69</v>
      </c>
      <c r="C154" s="121" t="str">
        <f t="shared" si="44"/>
        <v>BEL19990101*</v>
      </c>
      <c r="D154" s="122" t="str">
        <f t="shared" si="45"/>
        <v>VAN LAER Jan</v>
      </c>
      <c r="E154" s="123" t="str">
        <f t="shared" si="46"/>
        <v>WAC TEAM HOBOKEN</v>
      </c>
      <c r="F154" s="124">
        <f t="shared" si="47"/>
        <v>49880</v>
      </c>
      <c r="G154" s="125" t="str">
        <f t="shared" si="48"/>
        <v>CADET</v>
      </c>
      <c r="H154" s="125" t="str">
        <f t="shared" si="49"/>
        <v>WAC</v>
      </c>
      <c r="I154" s="141" t="s">
        <v>148</v>
      </c>
      <c r="J154" s="70"/>
      <c r="K154" s="70"/>
      <c r="M154" s="70"/>
      <c r="N154" s="70"/>
      <c r="O154" s="70"/>
      <c r="P154" s="142"/>
      <c r="R154" s="143"/>
      <c r="S154" s="144">
        <v>143</v>
      </c>
      <c r="T154" s="138" t="str">
        <f t="shared" si="51"/>
        <v/>
      </c>
      <c r="U154" s="145">
        <v>1</v>
      </c>
      <c r="V154" s="146">
        <v>193</v>
      </c>
      <c r="W154" s="138">
        <f t="shared" si="50"/>
        <v>1</v>
      </c>
    </row>
    <row r="155" spans="1:23" s="127" customFormat="1" ht="13.65" customHeight="1" x14ac:dyDescent="0.3">
      <c r="A155" s="45"/>
      <c r="B155" s="47">
        <v>149</v>
      </c>
      <c r="C155" s="121" t="str">
        <f t="shared" si="44"/>
        <v>*CZE19980519</v>
      </c>
      <c r="D155" s="122" t="str">
        <f t="shared" si="45"/>
        <v xml:space="preserve">VOSTREJŽ David </v>
      </c>
      <c r="E155" s="123" t="str">
        <f t="shared" si="46"/>
        <v xml:space="preserve">MIX6 - TJ FAVORIT BRNO </v>
      </c>
      <c r="F155" s="124">
        <f t="shared" si="47"/>
        <v>8769</v>
      </c>
      <c r="G155" s="125" t="str">
        <f t="shared" si="48"/>
        <v>JUNIOR *</v>
      </c>
      <c r="H155" s="125" t="str">
        <f t="shared" si="49"/>
        <v>FAV</v>
      </c>
      <c r="I155" s="141" t="s">
        <v>148</v>
      </c>
      <c r="J155" s="70"/>
      <c r="K155" s="70"/>
      <c r="M155" s="70"/>
      <c r="N155" s="70"/>
      <c r="O155" s="70"/>
      <c r="P155" s="142"/>
      <c r="R155" s="143"/>
      <c r="S155" s="144">
        <v>144</v>
      </c>
      <c r="T155" s="138" t="str">
        <f t="shared" si="51"/>
        <v/>
      </c>
      <c r="U155" s="145">
        <v>1</v>
      </c>
      <c r="V155" s="146">
        <v>194</v>
      </c>
      <c r="W155" s="138">
        <f t="shared" si="50"/>
        <v>1</v>
      </c>
    </row>
    <row r="156" spans="1:23" s="127" customFormat="1" ht="13.65" customHeight="1" x14ac:dyDescent="0.3">
      <c r="A156" s="45"/>
      <c r="B156" s="47">
        <v>160</v>
      </c>
      <c r="C156" s="121" t="str">
        <f t="shared" si="44"/>
        <v>*POL19980509</v>
      </c>
      <c r="D156" s="122" t="str">
        <f t="shared" si="45"/>
        <v>WŁODARCZYK Damian</v>
      </c>
      <c r="E156" s="123" t="str">
        <f t="shared" si="46"/>
        <v>MIX7 - MLKS WIELUŃ</v>
      </c>
      <c r="F156" s="124" t="str">
        <f t="shared" si="47"/>
        <v>LOD057</v>
      </c>
      <c r="G156" s="125" t="str">
        <f t="shared" si="48"/>
        <v>JUNIOR *</v>
      </c>
      <c r="H156" s="125" t="str">
        <f t="shared" si="49"/>
        <v>RLM</v>
      </c>
      <c r="I156" s="141" t="s">
        <v>148</v>
      </c>
      <c r="J156" s="70"/>
      <c r="K156" s="70"/>
      <c r="M156" s="70"/>
      <c r="N156" s="70"/>
      <c r="O156" s="70"/>
      <c r="P156" s="142"/>
      <c r="R156" s="143"/>
      <c r="S156" s="144">
        <v>145</v>
      </c>
      <c r="T156" s="138" t="str">
        <f t="shared" si="51"/>
        <v/>
      </c>
      <c r="U156" s="145">
        <v>1</v>
      </c>
      <c r="V156" s="146">
        <v>195</v>
      </c>
      <c r="W156" s="138">
        <f t="shared" si="50"/>
        <v>1</v>
      </c>
    </row>
    <row r="157" spans="1:23" s="127" customFormat="1" ht="13.65" customHeight="1" x14ac:dyDescent="0.3">
      <c r="A157" s="45"/>
      <c r="B157" s="47">
        <v>164</v>
      </c>
      <c r="C157" s="121" t="str">
        <f t="shared" si="44"/>
        <v>AUT19971207</v>
      </c>
      <c r="D157" s="122" t="str">
        <f t="shared" si="45"/>
        <v>MOSER Max</v>
      </c>
      <c r="E157" s="123" t="str">
        <f t="shared" si="46"/>
        <v>LRV STEIERMARK</v>
      </c>
      <c r="F157" s="124">
        <f t="shared" si="47"/>
        <v>100588</v>
      </c>
      <c r="G157" s="125" t="str">
        <f t="shared" si="48"/>
        <v xml:space="preserve">JUNIOR </v>
      </c>
      <c r="H157" s="125" t="str">
        <f t="shared" si="49"/>
        <v>LRS</v>
      </c>
      <c r="I157" s="141" t="s">
        <v>148</v>
      </c>
      <c r="J157" s="70"/>
      <c r="K157" s="70"/>
      <c r="M157" s="70"/>
      <c r="N157" s="70"/>
      <c r="O157" s="70"/>
      <c r="P157" s="142"/>
      <c r="R157" s="143"/>
      <c r="S157" s="144">
        <v>146</v>
      </c>
      <c r="T157" s="138" t="str">
        <f t="shared" si="51"/>
        <v/>
      </c>
      <c r="U157" s="145">
        <v>1</v>
      </c>
      <c r="V157" s="146">
        <v>196</v>
      </c>
      <c r="W157" s="138">
        <f t="shared" si="50"/>
        <v>1</v>
      </c>
    </row>
    <row r="158" spans="1:23" s="127" customFormat="1" ht="13.65" customHeight="1" x14ac:dyDescent="0.3">
      <c r="A158" s="45"/>
      <c r="B158" s="47">
        <v>192</v>
      </c>
      <c r="C158" s="121" t="str">
        <f t="shared" si="44"/>
        <v>CZE20000704*</v>
      </c>
      <c r="D158" s="122" t="str">
        <f t="shared" si="45"/>
        <v xml:space="preserve">MICHAL Daniel </v>
      </c>
      <c r="E158" s="123" t="str">
        <f t="shared" si="46"/>
        <v xml:space="preserve">MIX8 - SKP DUHA FORT LANŠKROUN </v>
      </c>
      <c r="F158" s="124">
        <f t="shared" si="47"/>
        <v>10728</v>
      </c>
      <c r="G158" s="125" t="str">
        <f t="shared" si="48"/>
        <v>CADET</v>
      </c>
      <c r="H158" s="125" t="str">
        <f t="shared" si="49"/>
        <v>SDL</v>
      </c>
      <c r="I158" s="141" t="s">
        <v>148</v>
      </c>
      <c r="J158" s="70"/>
      <c r="K158" s="70"/>
      <c r="M158" s="70"/>
      <c r="N158" s="70"/>
      <c r="O158" s="70"/>
      <c r="P158" s="142"/>
      <c r="R158" s="143"/>
      <c r="S158" s="144">
        <v>147</v>
      </c>
      <c r="T158" s="138" t="str">
        <f t="shared" si="51"/>
        <v/>
      </c>
      <c r="U158" s="145">
        <v>1</v>
      </c>
      <c r="V158" s="146">
        <v>197</v>
      </c>
      <c r="W158" s="138">
        <f t="shared" si="50"/>
        <v>0</v>
      </c>
    </row>
    <row r="159" spans="1:23" s="127" customFormat="1" ht="13.65" customHeight="1" x14ac:dyDescent="0.3">
      <c r="A159" s="45"/>
      <c r="B159" s="47">
        <v>197</v>
      </c>
      <c r="C159" s="121" t="str">
        <f t="shared" si="44"/>
        <v>*CZE19980830</v>
      </c>
      <c r="D159" s="122" t="str">
        <f t="shared" si="45"/>
        <v xml:space="preserve">PARMA Dominik </v>
      </c>
      <c r="E159" s="123" t="str">
        <f t="shared" si="46"/>
        <v xml:space="preserve">MIX8 - TJ UNIČOV </v>
      </c>
      <c r="F159" s="124">
        <f t="shared" si="47"/>
        <v>20788</v>
      </c>
      <c r="G159" s="125" t="str">
        <f t="shared" si="48"/>
        <v>JUNIOR *</v>
      </c>
      <c r="H159" s="125" t="str">
        <f t="shared" si="49"/>
        <v>SDL</v>
      </c>
      <c r="I159" s="141" t="s">
        <v>148</v>
      </c>
      <c r="J159" s="70"/>
      <c r="K159" s="70"/>
      <c r="M159" s="70"/>
      <c r="N159" s="70"/>
      <c r="O159" s="70"/>
      <c r="P159" s="142"/>
      <c r="R159" s="143"/>
      <c r="S159" s="144">
        <v>148</v>
      </c>
      <c r="T159" s="138" t="str">
        <f t="shared" si="51"/>
        <v/>
      </c>
      <c r="U159" s="145">
        <v>1</v>
      </c>
      <c r="V159" s="146">
        <v>198</v>
      </c>
      <c r="W159" s="138">
        <f t="shared" si="50"/>
        <v>1</v>
      </c>
    </row>
    <row r="160" spans="1:23" s="127" customFormat="1" ht="13.65" customHeight="1" x14ac:dyDescent="0.3">
      <c r="A160" s="54"/>
      <c r="B160" s="55" t="str">
        <f ca="1">INDIRECT("NRIDERS"&amp;(RIGHT(A3,1)))</f>
        <v>počet závodíků / num. of riders: 148</v>
      </c>
      <c r="C160" s="55"/>
      <c r="D160" s="44"/>
      <c r="E160" s="73"/>
      <c r="F160" s="54"/>
      <c r="G160" s="54"/>
      <c r="H160" s="54"/>
      <c r="I160" s="54"/>
      <c r="J160" s="54"/>
      <c r="K160" s="54"/>
      <c r="M160" s="70"/>
      <c r="N160" s="70"/>
      <c r="O160" s="70"/>
      <c r="P160" s="142"/>
      <c r="R160" s="143"/>
    </row>
    <row r="161" spans="1:18" s="127" customFormat="1" ht="13.65" customHeight="1" x14ac:dyDescent="0.3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M161" s="70"/>
      <c r="N161" s="70"/>
      <c r="O161" s="70"/>
      <c r="P161" s="142"/>
      <c r="R161" s="143"/>
    </row>
    <row r="162" spans="1:18" s="127" customFormat="1" ht="13.65" customHeight="1" x14ac:dyDescent="0.3">
      <c r="A162" s="57"/>
      <c r="B162" s="147"/>
      <c r="C162" s="148" t="s">
        <v>47</v>
      </c>
      <c r="D162" s="149"/>
      <c r="E162" s="149"/>
      <c r="F162" s="149"/>
      <c r="G162" s="57"/>
      <c r="H162" s="154"/>
      <c r="I162" s="154"/>
      <c r="J162" s="154"/>
      <c r="K162" s="154"/>
      <c r="M162" s="70"/>
      <c r="N162" s="70"/>
      <c r="O162" s="70"/>
      <c r="P162" s="142"/>
      <c r="R162" s="143"/>
    </row>
    <row r="163" spans="1:18" s="127" customFormat="1" ht="13.65" customHeight="1" x14ac:dyDescent="0.3">
      <c r="A163" s="57"/>
      <c r="B163" s="2"/>
      <c r="C163" s="150"/>
      <c r="D163" s="151"/>
      <c r="E163" s="152"/>
      <c r="F163" s="57"/>
      <c r="G163" s="57"/>
      <c r="H163" s="154"/>
      <c r="I163" s="154"/>
      <c r="J163" s="154"/>
      <c r="K163" s="154"/>
      <c r="M163" s="70"/>
      <c r="N163" s="70"/>
      <c r="O163" s="70"/>
      <c r="P163" s="142"/>
      <c r="R163" s="143"/>
    </row>
    <row r="164" spans="1:18" s="127" customFormat="1" ht="13.65" customHeight="1" x14ac:dyDescent="0.3">
      <c r="A164" s="57"/>
      <c r="B164" s="2"/>
      <c r="C164" s="153" t="s">
        <v>188</v>
      </c>
      <c r="D164" s="151"/>
      <c r="E164" s="152"/>
      <c r="F164" s="57"/>
      <c r="G164" s="57"/>
      <c r="H164" s="154"/>
      <c r="I164" s="154"/>
      <c r="J164" s="154"/>
      <c r="K164" s="154"/>
      <c r="M164" s="70"/>
      <c r="N164" s="70"/>
      <c r="O164" s="70"/>
      <c r="P164" s="142"/>
      <c r="R164" s="143"/>
    </row>
    <row r="165" spans="1:18" s="127" customFormat="1" ht="13.65" customHeight="1" x14ac:dyDescent="0.3">
      <c r="A165" s="346" t="s">
        <v>32</v>
      </c>
      <c r="B165" s="121">
        <v>85</v>
      </c>
      <c r="C165" s="121" t="str">
        <f>VLOOKUP(B165,STARTOVKA,2,0)</f>
        <v>GER19970211</v>
      </c>
      <c r="D165" s="122" t="str">
        <f>VLOOKUP(B165,STARTOVKA,3,0)</f>
        <v>URNAUER Lauritz</v>
      </c>
      <c r="E165" s="123" t="str">
        <f>VLOOKUP(B165,STARTOVKA,4,0)</f>
        <v>GERMAN NATIONAL TEAM</v>
      </c>
      <c r="F165" s="121"/>
      <c r="G165" s="57"/>
      <c r="H165" s="154"/>
      <c r="I165" s="154"/>
      <c r="J165" s="154"/>
      <c r="K165" s="154"/>
      <c r="M165" s="70"/>
      <c r="N165" s="70"/>
      <c r="O165" s="70"/>
      <c r="P165" s="142"/>
      <c r="R165" s="143"/>
    </row>
    <row r="166" spans="1:18" s="127" customFormat="1" ht="13.65" customHeight="1" x14ac:dyDescent="0.3">
      <c r="A166" s="347"/>
      <c r="B166" s="121">
        <v>74</v>
      </c>
      <c r="C166" s="121" t="str">
        <f>VLOOKUP(B166,STARTOVKA,2,0)</f>
        <v>*CZE19980303</v>
      </c>
      <c r="D166" s="122" t="str">
        <f>VLOOKUP(B166,STARTOVKA,3,0)</f>
        <v xml:space="preserve">KOUDELA Dominik </v>
      </c>
      <c r="E166" s="123" t="str">
        <f>VLOOKUP(B166,STARTOVKA,4,0)</f>
        <v xml:space="preserve">MIX2  - TJ KOVO PRAHA </v>
      </c>
      <c r="F166" s="121"/>
      <c r="G166" s="57"/>
      <c r="H166" s="154"/>
      <c r="I166" s="154"/>
      <c r="J166" s="154"/>
      <c r="K166" s="154"/>
      <c r="M166" s="70"/>
      <c r="N166" s="70"/>
      <c r="O166" s="70"/>
      <c r="P166" s="142"/>
      <c r="R166" s="143"/>
    </row>
    <row r="167" spans="1:18" s="127" customFormat="1" ht="13.65" customHeight="1" x14ac:dyDescent="0.3">
      <c r="A167" s="347"/>
      <c r="B167" s="121">
        <v>147</v>
      </c>
      <c r="C167" s="121" t="str">
        <f>VLOOKUP(B167,STARTOVKA,2,0)</f>
        <v>CZE19970127</v>
      </c>
      <c r="D167" s="122" t="str">
        <f>VLOOKUP(B167,STARTOVKA,3,0)</f>
        <v xml:space="preserve">KOTOUČEK Matěj </v>
      </c>
      <c r="E167" s="123" t="str">
        <f>VLOOKUP(B167,STARTOVKA,4,0)</f>
        <v xml:space="preserve">MIX6 - TJ FAVORIT BRNO </v>
      </c>
      <c r="F167" s="121"/>
      <c r="G167" s="57"/>
      <c r="H167" s="57"/>
      <c r="I167" s="57"/>
      <c r="J167" s="57"/>
      <c r="K167" s="57"/>
      <c r="M167" s="70"/>
      <c r="N167" s="70"/>
      <c r="O167" s="70"/>
      <c r="P167" s="142"/>
      <c r="R167" s="143"/>
    </row>
    <row r="168" spans="1:18" s="127" customFormat="1" ht="13.65" customHeight="1" x14ac:dyDescent="0.3">
      <c r="A168" s="347"/>
      <c r="B168" s="121">
        <v>33</v>
      </c>
      <c r="C168" s="121" t="str">
        <f>VLOOKUP(B168,STARTOVKA,2,0)</f>
        <v>*GER19980912</v>
      </c>
      <c r="D168" s="122" t="str">
        <f>VLOOKUP(B168,STARTOVKA,3,0)</f>
        <v>CLAUSS Marc</v>
      </c>
      <c r="E168" s="123" t="str">
        <f>VLOOKUP(B168,STARTOVKA,4,0)</f>
        <v>JUNIOREN SCHWALBE TEAM SACHSEN</v>
      </c>
      <c r="F168" s="121"/>
      <c r="G168" s="57"/>
      <c r="H168" s="57"/>
      <c r="I168" s="57"/>
      <c r="J168" s="57"/>
      <c r="K168" s="57"/>
      <c r="M168" s="70"/>
      <c r="N168" s="70"/>
      <c r="O168" s="70"/>
      <c r="P168" s="142"/>
      <c r="R168" s="143"/>
    </row>
    <row r="169" spans="1:18" s="127" customFormat="1" ht="9" customHeight="1" x14ac:dyDescent="0.3">
      <c r="A169" s="57"/>
      <c r="B169" s="155"/>
      <c r="C169" s="155"/>
      <c r="D169" s="156"/>
      <c r="E169" s="155"/>
      <c r="F169" s="156"/>
      <c r="G169" s="57"/>
      <c r="H169" s="154"/>
      <c r="I169" s="154"/>
      <c r="J169" s="154"/>
      <c r="K169" s="154"/>
      <c r="M169" s="70"/>
      <c r="N169" s="70"/>
      <c r="O169" s="70"/>
      <c r="P169" s="142"/>
      <c r="R169" s="143"/>
    </row>
    <row r="170" spans="1:18" s="127" customFormat="1" ht="13.65" customHeight="1" x14ac:dyDescent="0.3">
      <c r="A170" s="57"/>
      <c r="B170" s="2"/>
      <c r="C170" s="153" t="s">
        <v>189</v>
      </c>
      <c r="D170" s="151"/>
      <c r="E170" s="152"/>
      <c r="F170" s="57"/>
      <c r="G170" s="57"/>
      <c r="H170" s="154"/>
      <c r="I170" s="154"/>
      <c r="J170" s="154"/>
      <c r="K170" s="154"/>
      <c r="M170" s="70"/>
      <c r="N170" s="70"/>
      <c r="O170" s="70"/>
      <c r="P170" s="142"/>
      <c r="R170" s="143"/>
    </row>
    <row r="171" spans="1:18" s="3" customFormat="1" x14ac:dyDescent="0.3">
      <c r="A171" s="346" t="s">
        <v>31</v>
      </c>
      <c r="B171" s="121">
        <v>71</v>
      </c>
      <c r="C171" s="121" t="str">
        <f>VLOOKUP(B171,STARTOVKA,2,0)</f>
        <v>CZE19990814*</v>
      </c>
      <c r="D171" s="122" t="str">
        <f>VLOOKUP(B171,STARTOVKA,3,0)</f>
        <v xml:space="preserve">KLABOUCH Petr </v>
      </c>
      <c r="E171" s="123" t="str">
        <f>VLOOKUP(B171,STARTOVKA,4,0)</f>
        <v>MIX2  - VELO - CLUB CIRKL Č.BUDĚJOVICE</v>
      </c>
      <c r="F171" s="121"/>
      <c r="G171" s="57"/>
      <c r="H171" s="154"/>
      <c r="I171" s="154"/>
      <c r="J171" s="154"/>
      <c r="K171" s="154"/>
    </row>
    <row r="172" spans="1:18" s="57" customFormat="1" x14ac:dyDescent="0.25">
      <c r="A172" s="347"/>
      <c r="B172" s="121">
        <v>85</v>
      </c>
      <c r="C172" s="121" t="str">
        <f>VLOOKUP(B172,STARTOVKA,2,0)</f>
        <v>GER19970211</v>
      </c>
      <c r="D172" s="122" t="str">
        <f>VLOOKUP(B172,STARTOVKA,3,0)</f>
        <v>URNAUER Lauritz</v>
      </c>
      <c r="E172" s="123" t="str">
        <f>VLOOKUP(B172,STARTOVKA,4,0)</f>
        <v>GERMAN NATIONAL TEAM</v>
      </c>
      <c r="F172" s="121"/>
      <c r="H172" s="154"/>
      <c r="I172" s="154"/>
      <c r="J172" s="154"/>
      <c r="K172" s="154"/>
    </row>
    <row r="173" spans="1:18" s="57" customFormat="1" ht="17.25" customHeight="1" x14ac:dyDescent="0.25">
      <c r="A173" s="347"/>
      <c r="B173" s="121">
        <v>51</v>
      </c>
      <c r="C173" s="121" t="str">
        <f>VLOOKUP(B173,STARTOVKA,2,0)</f>
        <v>*CZE19980914</v>
      </c>
      <c r="D173" s="122" t="str">
        <f>VLOOKUP(B173,STARTOVKA,3,0)</f>
        <v>TRACHTULEC Petr</v>
      </c>
      <c r="E173" s="123" t="str">
        <f>VLOOKUP(B173,STARTOVKA,4,0)</f>
        <v>MIX1 - CK FESO PETŘVALD</v>
      </c>
      <c r="F173" s="121"/>
      <c r="H173" s="154"/>
      <c r="I173" s="154"/>
      <c r="J173" s="154"/>
      <c r="K173" s="154"/>
    </row>
    <row r="174" spans="1:18" s="57" customFormat="1" ht="16.8" customHeight="1" x14ac:dyDescent="0.25">
      <c r="A174" s="347"/>
      <c r="B174" s="121">
        <v>33</v>
      </c>
      <c r="C174" s="121" t="str">
        <f t="shared" ref="C174" si="52">VLOOKUP(B174,STARTOVKA,2,0)</f>
        <v>*GER19980912</v>
      </c>
      <c r="D174" s="122" t="str">
        <f t="shared" ref="D174" si="53">VLOOKUP(B174,STARTOVKA,3,0)</f>
        <v>CLAUSS Marc</v>
      </c>
      <c r="E174" s="123" t="str">
        <f t="shared" ref="E174" si="54">VLOOKUP(B174,STARTOVKA,4,0)</f>
        <v>JUNIOREN SCHWALBE TEAM SACHSEN</v>
      </c>
      <c r="F174" s="121"/>
      <c r="H174" s="154"/>
      <c r="I174" s="154"/>
      <c r="J174" s="154"/>
      <c r="K174" s="154"/>
    </row>
    <row r="175" spans="1:18" s="57" customFormat="1" ht="8.4" customHeight="1" x14ac:dyDescent="0.3">
      <c r="B175" s="2"/>
      <c r="C175" s="119"/>
      <c r="H175" s="154"/>
      <c r="I175" s="154"/>
      <c r="J175" s="154"/>
      <c r="K175" s="154"/>
    </row>
    <row r="176" spans="1:18" s="57" customFormat="1" ht="12.75" customHeight="1" x14ac:dyDescent="0.3">
      <c r="B176" s="2"/>
      <c r="C176" s="153" t="s">
        <v>190</v>
      </c>
      <c r="H176" s="154"/>
      <c r="I176" s="154"/>
      <c r="J176" s="154"/>
      <c r="K176" s="154"/>
    </row>
    <row r="177" spans="1:12" s="57" customFormat="1" x14ac:dyDescent="0.25">
      <c r="A177" s="346" t="s">
        <v>654</v>
      </c>
      <c r="B177" s="121">
        <v>71</v>
      </c>
      <c r="C177" s="121" t="str">
        <f>VLOOKUP(B177,STARTOVKA,2,0)</f>
        <v>CZE19990814*</v>
      </c>
      <c r="D177" s="122" t="str">
        <f>VLOOKUP(B177,STARTOVKA,3,0)</f>
        <v xml:space="preserve">KLABOUCH Petr </v>
      </c>
      <c r="E177" s="123" t="str">
        <f>VLOOKUP(B177,STARTOVKA,4,0)</f>
        <v>MIX2  - VELO - CLUB CIRKL Č.BUDĚJOVICE</v>
      </c>
      <c r="F177" s="121"/>
      <c r="H177" s="154"/>
      <c r="I177" s="154"/>
      <c r="J177" s="154"/>
      <c r="K177" s="154"/>
    </row>
    <row r="178" spans="1:12" s="57" customFormat="1" ht="12.75" customHeight="1" x14ac:dyDescent="0.25">
      <c r="A178" s="347"/>
      <c r="B178" s="121">
        <v>85</v>
      </c>
      <c r="C178" s="121" t="str">
        <f>VLOOKUP(B178,STARTOVKA,2,0)</f>
        <v>GER19970211</v>
      </c>
      <c r="D178" s="122" t="str">
        <f>VLOOKUP(B178,STARTOVKA,3,0)</f>
        <v>URNAUER Lauritz</v>
      </c>
      <c r="E178" s="123" t="str">
        <f>VLOOKUP(B178,STARTOVKA,4,0)</f>
        <v>GERMAN NATIONAL TEAM</v>
      </c>
      <c r="F178" s="121"/>
      <c r="H178" s="154"/>
      <c r="I178" s="154"/>
      <c r="J178" s="154"/>
      <c r="K178" s="154"/>
      <c r="L178" s="154"/>
    </row>
    <row r="179" spans="1:12" s="57" customFormat="1" ht="12.75" customHeight="1" x14ac:dyDescent="0.25">
      <c r="A179" s="347"/>
      <c r="B179" s="121">
        <v>51</v>
      </c>
      <c r="C179" s="121" t="str">
        <f>VLOOKUP(B179,STARTOVKA,2,0)</f>
        <v>*CZE19980914</v>
      </c>
      <c r="D179" s="122" t="str">
        <f>VLOOKUP(B179,STARTOVKA,3,0)</f>
        <v>TRACHTULEC Petr</v>
      </c>
      <c r="E179" s="123" t="str">
        <f>VLOOKUP(B179,STARTOVKA,4,0)</f>
        <v>MIX1 - CK FESO PETŘVALD</v>
      </c>
      <c r="F179" s="121"/>
      <c r="H179" s="154"/>
      <c r="I179" s="154"/>
      <c r="J179" s="154"/>
      <c r="K179" s="154"/>
      <c r="L179" s="154"/>
    </row>
    <row r="180" spans="1:12" s="57" customFormat="1" ht="16.8" customHeight="1" x14ac:dyDescent="0.25">
      <c r="A180" s="347"/>
      <c r="B180" s="121">
        <v>147</v>
      </c>
      <c r="C180" s="121" t="str">
        <f t="shared" ref="C180" si="55">VLOOKUP(B180,STARTOVKA,2,0)</f>
        <v>CZE19970127</v>
      </c>
      <c r="D180" s="122" t="str">
        <f t="shared" ref="D180" si="56">VLOOKUP(B180,STARTOVKA,3,0)</f>
        <v xml:space="preserve">KOTOUČEK Matěj </v>
      </c>
      <c r="E180" s="123" t="str">
        <f t="shared" ref="E180" si="57">VLOOKUP(B180,STARTOVKA,4,0)</f>
        <v xml:space="preserve">MIX6 - TJ FAVORIT BRNO </v>
      </c>
      <c r="F180" s="121"/>
      <c r="H180" s="154"/>
      <c r="I180" s="154"/>
      <c r="J180" s="154"/>
      <c r="K180" s="154"/>
      <c r="L180" s="154"/>
    </row>
    <row r="181" spans="1:12" s="57" customFormat="1" ht="12.75" customHeight="1" x14ac:dyDescent="0.3">
      <c r="B181" s="2"/>
      <c r="C181" s="119"/>
      <c r="H181" s="154"/>
      <c r="I181" s="154"/>
      <c r="J181" s="154"/>
      <c r="K181" s="154"/>
      <c r="L181" s="154"/>
    </row>
    <row r="182" spans="1:12" s="57" customFormat="1" ht="7.2" customHeight="1" x14ac:dyDescent="0.25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</row>
    <row r="183" spans="1:12" s="57" customFormat="1" x14ac:dyDescent="0.25">
      <c r="A183" s="76"/>
      <c r="B183" s="76"/>
      <c r="C183" s="77"/>
      <c r="D183" s="76"/>
      <c r="E183" s="76"/>
      <c r="F183" s="76"/>
      <c r="G183" s="76"/>
      <c r="H183" s="76"/>
      <c r="I183" s="76"/>
      <c r="J183" s="76"/>
      <c r="K183" s="76"/>
    </row>
    <row r="184" spans="1:12" s="57" customFormat="1" x14ac:dyDescent="0.25">
      <c r="A184" s="76"/>
      <c r="B184" s="76"/>
      <c r="C184" s="77"/>
      <c r="D184" s="76"/>
      <c r="E184" s="76"/>
      <c r="F184" s="76"/>
      <c r="G184" s="76"/>
      <c r="H184" s="76"/>
      <c r="I184" s="76"/>
      <c r="J184" s="76"/>
      <c r="K184" s="76"/>
    </row>
    <row r="185" spans="1:12" s="57" customFormat="1" x14ac:dyDescent="0.25">
      <c r="A185" s="76"/>
      <c r="B185" s="76"/>
      <c r="C185" s="77"/>
      <c r="D185" s="76"/>
      <c r="E185" s="76"/>
      <c r="F185" s="76"/>
      <c r="G185" s="76"/>
      <c r="H185" s="76"/>
      <c r="I185" s="76"/>
      <c r="J185" s="76"/>
      <c r="K185" s="76"/>
    </row>
    <row r="186" spans="1:12" s="57" customFormat="1" x14ac:dyDescent="0.25">
      <c r="A186" s="76"/>
      <c r="B186" s="76"/>
      <c r="C186" s="77"/>
      <c r="D186" s="76"/>
      <c r="E186" s="76"/>
      <c r="F186" s="76"/>
      <c r="G186" s="76"/>
      <c r="H186" s="76"/>
      <c r="I186" s="76"/>
      <c r="J186" s="76"/>
      <c r="K186" s="76"/>
    </row>
    <row r="187" spans="1:12" s="57" customFormat="1" x14ac:dyDescent="0.25">
      <c r="A187" s="76"/>
      <c r="B187" s="76"/>
      <c r="C187" s="77"/>
      <c r="D187" s="76"/>
      <c r="E187" s="76"/>
      <c r="F187" s="76"/>
      <c r="G187" s="76"/>
      <c r="H187" s="76"/>
      <c r="I187" s="76"/>
      <c r="J187" s="76"/>
      <c r="K187" s="76"/>
    </row>
    <row r="188" spans="1:12" s="57" customFormat="1" x14ac:dyDescent="0.25">
      <c r="A188" s="76"/>
      <c r="B188" s="76"/>
      <c r="C188" s="77"/>
      <c r="D188" s="76"/>
      <c r="E188" s="76"/>
      <c r="F188" s="76"/>
      <c r="G188" s="76"/>
      <c r="H188" s="76"/>
      <c r="I188" s="76"/>
      <c r="J188" s="76"/>
      <c r="K188" s="76"/>
    </row>
    <row r="189" spans="1:12" s="57" customFormat="1" ht="3" customHeight="1" x14ac:dyDescent="0.25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</row>
    <row r="190" spans="1:12" ht="13.2" x14ac:dyDescent="0.25">
      <c r="A190" s="335" t="s">
        <v>40</v>
      </c>
      <c r="B190" s="335"/>
      <c r="C190" s="335"/>
      <c r="D190" s="335"/>
      <c r="E190" s="335"/>
      <c r="F190" s="335"/>
      <c r="G190" s="335"/>
      <c r="H190" s="335"/>
      <c r="I190" s="335"/>
      <c r="J190" s="335"/>
      <c r="K190" s="335"/>
    </row>
    <row r="193" ht="6" customHeight="1" x14ac:dyDescent="0.3"/>
    <row r="200" ht="6" customHeight="1" x14ac:dyDescent="0.3"/>
    <row r="201" ht="11.4" customHeight="1" x14ac:dyDescent="0.3"/>
  </sheetData>
  <sortState ref="B149:I159">
    <sortCondition ref="B149"/>
  </sortState>
  <mergeCells count="8">
    <mergeCell ref="A165:A168"/>
    <mergeCell ref="A171:A174"/>
    <mergeCell ref="A190:K190"/>
    <mergeCell ref="A5:K5"/>
    <mergeCell ref="A1:K1"/>
    <mergeCell ref="A2:K2"/>
    <mergeCell ref="D3:H3"/>
    <mergeCell ref="A177:A180"/>
  </mergeCells>
  <phoneticPr fontId="12" type="noConversion"/>
  <conditionalFormatting sqref="K12:K159">
    <cfRule type="cellIs" dxfId="3" priority="1" operator="equal">
      <formula>0</formula>
    </cfRule>
  </conditionalFormatting>
  <pageMargins left="0.56999999999999995" right="0.55118110236220474" top="0.31496062992125984" bottom="0.36" header="0.23622047244094491" footer="0.19685039370078741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91"/>
  <sheetViews>
    <sheetView tabSelected="1" zoomScaleNormal="100" workbookViewId="0">
      <selection sqref="A1:K1"/>
    </sheetView>
  </sheetViews>
  <sheetFormatPr defaultColWidth="8.88671875" defaultRowHeight="13.8" outlineLevelCol="1" x14ac:dyDescent="0.3"/>
  <cols>
    <col min="1" max="1" width="5.6640625" style="3" customWidth="1"/>
    <col min="2" max="2" width="7.33203125" style="3" customWidth="1"/>
    <col min="3" max="3" width="14" style="36" customWidth="1"/>
    <col min="4" max="4" width="25.109375" style="3" customWidth="1"/>
    <col min="5" max="5" width="34.44140625" style="3" customWidth="1"/>
    <col min="6" max="6" width="9" style="3" customWidth="1"/>
    <col min="7" max="7" width="7.33203125" style="3" customWidth="1"/>
    <col min="8" max="8" width="9" style="3" customWidth="1"/>
    <col min="9" max="9" width="11.5546875" style="3" customWidth="1"/>
    <col min="10" max="10" width="10" style="3" customWidth="1"/>
    <col min="11" max="11" width="4.44140625" style="3" customWidth="1"/>
    <col min="12" max="12" width="8.44140625" style="18" customWidth="1"/>
    <col min="13" max="14" width="5.44140625" style="18" hidden="1" customWidth="1" outlineLevel="1"/>
    <col min="15" max="15" width="4.109375" style="18" hidden="1" customWidth="1" outlineLevel="1"/>
    <col min="16" max="16" width="6.44140625" style="18" hidden="1" customWidth="1" outlineLevel="1"/>
    <col min="17" max="17" width="5.88671875" style="18" hidden="1" customWidth="1" outlineLevel="1"/>
    <col min="18" max="19" width="8.88671875" style="18" hidden="1" customWidth="1" outlineLevel="1"/>
    <col min="20" max="20" width="6.44140625" style="18" hidden="1" customWidth="1" outlineLevel="1"/>
    <col min="21" max="21" width="5.88671875" style="18" hidden="1" customWidth="1" outlineLevel="1"/>
    <col min="22" max="23" width="8.88671875" style="18" hidden="1" customWidth="1" outlineLevel="1"/>
    <col min="24" max="24" width="6.44140625" style="18" hidden="1" customWidth="1" outlineLevel="1"/>
    <col min="25" max="25" width="5.88671875" style="18" hidden="1" customWidth="1" outlineLevel="1"/>
    <col min="26" max="27" width="8.88671875" style="18" hidden="1" customWidth="1" outlineLevel="1"/>
    <col min="28" max="28" width="6.44140625" style="18" hidden="1" customWidth="1" outlineLevel="1"/>
    <col min="29" max="29" width="5.88671875" style="18" hidden="1" customWidth="1" outlineLevel="1"/>
    <col min="30" max="32" width="8.88671875" style="18" hidden="1" customWidth="1" outlineLevel="1"/>
    <col min="33" max="33" width="8.88671875" style="18" collapsed="1"/>
    <col min="34" max="16384" width="8.88671875" style="18"/>
  </cols>
  <sheetData>
    <row r="1" spans="1:33" s="3" customFormat="1" ht="33.75" customHeight="1" x14ac:dyDescent="0.3">
      <c r="A1" s="336" t="str">
        <f>CTRL!B7</f>
        <v>R E G I O N E M   O R L I C K A   L A N Š K R O U N   2 0 1 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s="3" customFormat="1" ht="15.6" x14ac:dyDescent="0.3">
      <c r="A2" s="337" t="str">
        <f>CTRL!B8</f>
        <v>29. ročník mezinárodního cyklistického závodu juniorů / 29th edition of international cycling race of juniors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3" s="3" customFormat="1" ht="18" x14ac:dyDescent="0.35">
      <c r="A3" s="30" t="str">
        <f ca="1">MID(CELL("filename",A1),FIND("]",CELL("filename",A1))+1,256)</f>
        <v>AE1</v>
      </c>
      <c r="C3" s="36"/>
      <c r="D3" s="338" t="str">
        <f ca="1">INDIRECT("POET"&amp;(RIGHT(A3,1)))</f>
        <v>po 1. etapě / after 1st Stage</v>
      </c>
      <c r="E3" s="338"/>
      <c r="F3" s="338"/>
      <c r="G3" s="338"/>
      <c r="H3" s="338"/>
      <c r="I3" s="58"/>
      <c r="K3" s="59" t="str">
        <f>"Com.no.: 6/" &amp; CTRL!B27</f>
        <v>Com.no.: 6/33</v>
      </c>
      <c r="P3" s="18"/>
      <c r="Q3" s="157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 s="3" customFormat="1" x14ac:dyDescent="0.3">
      <c r="A4" s="120" t="str">
        <f ca="1">"Datum / Date: "&amp;TEXT(INDIRECT("DATUM"&amp;(RIGHT(A3,1))),"dd.mm.rrrr")</f>
        <v>Datum / Date: 07.08.2015</v>
      </c>
      <c r="C4" s="36"/>
      <c r="K4" s="62" t="str">
        <f>"Místo konání / Place: "&amp;CTRL!B16&amp;""</f>
        <v>Místo konání / Place: Lanškroun (CZE)</v>
      </c>
      <c r="P4" s="18"/>
      <c r="Q4" s="15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5" spans="1:33" s="3" customFormat="1" ht="21" x14ac:dyDescent="0.3">
      <c r="A5" s="339" t="s">
        <v>103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P5" s="18"/>
      <c r="Q5" s="15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3" s="3" customFormat="1" ht="9" customHeight="1" x14ac:dyDescent="0.3">
      <c r="C6" s="36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s="3" customFormat="1" x14ac:dyDescent="0.3">
      <c r="A7" s="37" t="s">
        <v>0</v>
      </c>
      <c r="B7" s="37" t="s">
        <v>1</v>
      </c>
      <c r="C7" s="37" t="s">
        <v>2</v>
      </c>
      <c r="D7" s="37" t="s">
        <v>3</v>
      </c>
      <c r="E7" s="37" t="s">
        <v>4</v>
      </c>
      <c r="F7" s="37" t="s">
        <v>5</v>
      </c>
      <c r="G7" s="37" t="s">
        <v>48</v>
      </c>
      <c r="H7" s="37" t="s">
        <v>12</v>
      </c>
      <c r="I7" s="37" t="s">
        <v>42</v>
      </c>
      <c r="J7" s="37" t="s">
        <v>27</v>
      </c>
      <c r="K7" s="37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s="3" customFormat="1" x14ac:dyDescent="0.3">
      <c r="A8" s="38" t="s">
        <v>6</v>
      </c>
      <c r="B8" s="38" t="s">
        <v>7</v>
      </c>
      <c r="C8" s="38" t="s">
        <v>8</v>
      </c>
      <c r="D8" s="38" t="s">
        <v>9</v>
      </c>
      <c r="E8" s="38" t="s">
        <v>14</v>
      </c>
      <c r="F8" s="38" t="s">
        <v>10</v>
      </c>
      <c r="G8" s="38" t="s">
        <v>49</v>
      </c>
      <c r="H8" s="38" t="s">
        <v>11</v>
      </c>
      <c r="I8" s="38" t="s">
        <v>43</v>
      </c>
      <c r="J8" s="38" t="s">
        <v>41</v>
      </c>
      <c r="K8" s="3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s="3" customFormat="1" ht="8.25" customHeight="1" thickBot="1" x14ac:dyDescent="0.35">
      <c r="C9" s="36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s="3" customFormat="1" ht="14.25" customHeight="1" x14ac:dyDescent="0.3">
      <c r="A10" s="341"/>
      <c r="B10" s="341"/>
      <c r="C10" s="341"/>
      <c r="D10" s="341"/>
      <c r="E10" s="341"/>
      <c r="F10" s="341"/>
      <c r="G10" s="341"/>
      <c r="H10" s="341"/>
      <c r="I10" s="341"/>
      <c r="J10" s="341"/>
      <c r="K10" s="341"/>
      <c r="M10" s="159"/>
      <c r="N10" s="159"/>
      <c r="P10" s="349" t="s">
        <v>19</v>
      </c>
      <c r="Q10" s="349"/>
      <c r="R10" s="349"/>
      <c r="S10" s="349"/>
      <c r="T10" s="348" t="s">
        <v>18</v>
      </c>
      <c r="U10" s="348"/>
      <c r="V10" s="348"/>
      <c r="W10" s="348"/>
      <c r="X10" s="349" t="s">
        <v>17</v>
      </c>
      <c r="Y10" s="349"/>
      <c r="Z10" s="349"/>
      <c r="AA10" s="349"/>
      <c r="AB10" s="348" t="s">
        <v>16</v>
      </c>
      <c r="AC10" s="348"/>
      <c r="AD10" s="348"/>
      <c r="AE10" s="348"/>
      <c r="AF10" s="160" t="s">
        <v>15</v>
      </c>
      <c r="AG10" s="18"/>
    </row>
    <row r="11" spans="1:33" s="3" customFormat="1" ht="14.4" x14ac:dyDescent="0.3">
      <c r="A11" s="63" t="str">
        <f ca="1" xml:space="preserve"> "Délka / Distance: " &amp;INDIRECT("POETAP"&amp;(RIGHT(A3,1)))&amp; " km"</f>
        <v>Délka / Distance: 77 km</v>
      </c>
      <c r="B11" s="64"/>
      <c r="C11" s="64"/>
      <c r="D11" s="64"/>
      <c r="E11" s="65"/>
      <c r="F11" s="65"/>
      <c r="G11" s="65"/>
      <c r="H11" s="65"/>
      <c r="I11" s="65"/>
      <c r="J11" s="65"/>
      <c r="K11" s="65" t="str">
        <f ca="1">"Průměrná rychlost / Average Speed: " &amp; ROUND(INDIRECT("POETAP"&amp;(RIGHT(A3,1)))/(HOUR($I$12)+(MINUTE($I$12)+SECOND($I$12)/60)/60),2) &amp; " km/h"</f>
        <v>Průměrná rychlost / Average Speed: 41,06 km/h</v>
      </c>
      <c r="M11" s="159" t="s">
        <v>95</v>
      </c>
      <c r="N11" s="159" t="s">
        <v>96</v>
      </c>
      <c r="P11" s="161" t="s">
        <v>85</v>
      </c>
      <c r="Q11" s="161" t="s">
        <v>83</v>
      </c>
      <c r="R11" s="161" t="s">
        <v>84</v>
      </c>
      <c r="S11" s="161" t="s">
        <v>86</v>
      </c>
      <c r="T11" s="162" t="s">
        <v>85</v>
      </c>
      <c r="U11" s="162" t="s">
        <v>83</v>
      </c>
      <c r="V11" s="162" t="s">
        <v>84</v>
      </c>
      <c r="W11" s="162" t="s">
        <v>86</v>
      </c>
      <c r="X11" s="161" t="s">
        <v>85</v>
      </c>
      <c r="Y11" s="161" t="s">
        <v>83</v>
      </c>
      <c r="Z11" s="161" t="s">
        <v>84</v>
      </c>
      <c r="AA11" s="161" t="s">
        <v>86</v>
      </c>
      <c r="AB11" s="162" t="s">
        <v>85</v>
      </c>
      <c r="AC11" s="162" t="s">
        <v>83</v>
      </c>
      <c r="AD11" s="162" t="s">
        <v>84</v>
      </c>
      <c r="AE11" s="162" t="s">
        <v>86</v>
      </c>
      <c r="AF11" s="163"/>
      <c r="AG11" s="18"/>
    </row>
    <row r="12" spans="1:33" s="127" customFormat="1" ht="14.55" customHeight="1" x14ac:dyDescent="0.25">
      <c r="A12" s="45">
        <v>1</v>
      </c>
      <c r="B12" s="47">
        <v>34</v>
      </c>
      <c r="C12" s="121" t="str">
        <f t="shared" ref="C12:C43" si="0">VLOOKUP(B12,STARTOVKA,2,0)</f>
        <v>GER19970125</v>
      </c>
      <c r="D12" s="122" t="str">
        <f t="shared" ref="D12:D43" si="1">VLOOKUP(B12,STARTOVKA,3,0)</f>
        <v>FRANZ Toni</v>
      </c>
      <c r="E12" s="123" t="str">
        <f t="shared" ref="E12:E43" si="2">VLOOKUP(B12,STARTOVKA,4,0)</f>
        <v>JUNIOREN SCHWALBE TEAM SACHSEN</v>
      </c>
      <c r="F12" s="124" t="str">
        <f t="shared" ref="F12:F43" si="3">VLOOKUP(B12,STARTOVKA,5,0)</f>
        <v>SAC134961</v>
      </c>
      <c r="G12" s="125" t="str">
        <f t="shared" ref="G12:G43" si="4">VLOOKUP(B12,STARTOVKA,6,0)</f>
        <v xml:space="preserve">JUNIOR </v>
      </c>
      <c r="H12" s="125" t="str">
        <f t="shared" ref="H12:H43" si="5">VLOOKUP(B12,STARTOVKA,7,0)</f>
        <v>SAC</v>
      </c>
      <c r="I12" s="164">
        <f t="shared" ref="I12:I43" si="6">SUM(R12,V12,Z12,AD12)-SUM(S12,W12,AA12,AE12)+AF12</f>
        <v>7.8136574074074081E-2</v>
      </c>
      <c r="J12" s="70">
        <f t="shared" ref="J12:J43" si="7">I12-$I$12</f>
        <v>0</v>
      </c>
      <c r="K12" s="70"/>
      <c r="M12" s="127">
        <f t="shared" ref="M12:M43" si="8">A12</f>
        <v>1</v>
      </c>
      <c r="P12" s="165">
        <v>1</v>
      </c>
      <c r="Q12" s="166">
        <v>34</v>
      </c>
      <c r="R12" s="167">
        <v>7.8252314814814816E-2</v>
      </c>
      <c r="S12" s="168">
        <v>1.1574074074074073E-4</v>
      </c>
      <c r="T12" s="169"/>
      <c r="U12" s="170"/>
      <c r="V12" s="171"/>
      <c r="W12" s="172"/>
      <c r="X12" s="165"/>
      <c r="Y12" s="166"/>
      <c r="Z12" s="167"/>
      <c r="AA12" s="168"/>
      <c r="AB12" s="169"/>
      <c r="AC12" s="170"/>
      <c r="AD12" s="173"/>
      <c r="AE12" s="172"/>
      <c r="AF12" s="168"/>
      <c r="AG12" s="71"/>
    </row>
    <row r="13" spans="1:33" s="127" customFormat="1" ht="14.55" customHeight="1" x14ac:dyDescent="0.25">
      <c r="A13" s="45">
        <v>2</v>
      </c>
      <c r="B13" s="47">
        <v>2</v>
      </c>
      <c r="C13" s="121" t="str">
        <f t="shared" si="0"/>
        <v>GER19970122</v>
      </c>
      <c r="D13" s="122" t="str">
        <f t="shared" si="1"/>
        <v>BERAN Andy</v>
      </c>
      <c r="E13" s="123" t="str">
        <f t="shared" si="2"/>
        <v>RSC COTTBUS</v>
      </c>
      <c r="F13" s="124" t="str">
        <f t="shared" si="3"/>
        <v>BRA604254</v>
      </c>
      <c r="G13" s="125" t="str">
        <f t="shared" si="4"/>
        <v xml:space="preserve">JUNIOR </v>
      </c>
      <c r="H13" s="125" t="str">
        <f t="shared" si="5"/>
        <v>COT</v>
      </c>
      <c r="I13" s="164">
        <f t="shared" si="6"/>
        <v>7.8182870370370375E-2</v>
      </c>
      <c r="J13" s="70">
        <f t="shared" si="7"/>
        <v>4.6296296296294281E-5</v>
      </c>
      <c r="K13" s="70"/>
      <c r="M13" s="127">
        <f t="shared" si="8"/>
        <v>2</v>
      </c>
      <c r="P13" s="165">
        <v>2</v>
      </c>
      <c r="Q13" s="166">
        <v>2</v>
      </c>
      <c r="R13" s="167">
        <v>7.8252314814814816E-2</v>
      </c>
      <c r="S13" s="168">
        <v>6.9444444444444444E-5</v>
      </c>
      <c r="T13" s="169"/>
      <c r="U13" s="170"/>
      <c r="V13" s="171"/>
      <c r="W13" s="172"/>
      <c r="X13" s="165"/>
      <c r="Y13" s="166"/>
      <c r="Z13" s="167"/>
      <c r="AA13" s="168"/>
      <c r="AB13" s="169"/>
      <c r="AC13" s="170"/>
      <c r="AD13" s="173"/>
      <c r="AE13" s="172"/>
      <c r="AF13" s="168"/>
      <c r="AG13" s="71"/>
    </row>
    <row r="14" spans="1:33" s="127" customFormat="1" ht="14.55" customHeight="1" x14ac:dyDescent="0.25">
      <c r="A14" s="45">
        <v>3</v>
      </c>
      <c r="B14" s="47">
        <v>84</v>
      </c>
      <c r="C14" s="121" t="str">
        <f t="shared" si="0"/>
        <v>*GER19981211</v>
      </c>
      <c r="D14" s="122" t="str">
        <f t="shared" si="1"/>
        <v>RUDOLPH Poul</v>
      </c>
      <c r="E14" s="123" t="str">
        <f t="shared" si="2"/>
        <v>GERMAN NATIONAL TEAM</v>
      </c>
      <c r="F14" s="124" t="str">
        <f t="shared" si="3"/>
        <v>BER032411</v>
      </c>
      <c r="G14" s="125" t="str">
        <f t="shared" si="4"/>
        <v>JUNIOR *</v>
      </c>
      <c r="H14" s="125" t="str">
        <f t="shared" si="5"/>
        <v>GER</v>
      </c>
      <c r="I14" s="164">
        <f t="shared" si="6"/>
        <v>7.8206018518518522E-2</v>
      </c>
      <c r="J14" s="70">
        <f t="shared" si="7"/>
        <v>6.9444444444441422E-5</v>
      </c>
      <c r="K14" s="70"/>
      <c r="M14" s="127">
        <f t="shared" si="8"/>
        <v>3</v>
      </c>
      <c r="P14" s="165">
        <v>3</v>
      </c>
      <c r="Q14" s="166">
        <v>84</v>
      </c>
      <c r="R14" s="167">
        <v>7.8252314814814816E-2</v>
      </c>
      <c r="S14" s="168">
        <v>4.6296296296296294E-5</v>
      </c>
      <c r="T14" s="169"/>
      <c r="U14" s="170"/>
      <c r="V14" s="171"/>
      <c r="W14" s="172"/>
      <c r="X14" s="165"/>
      <c r="Y14" s="166"/>
      <c r="Z14" s="167"/>
      <c r="AA14" s="168"/>
      <c r="AB14" s="169"/>
      <c r="AC14" s="170"/>
      <c r="AD14" s="173"/>
      <c r="AE14" s="172"/>
      <c r="AF14" s="168"/>
      <c r="AG14" s="71"/>
    </row>
    <row r="15" spans="1:33" s="127" customFormat="1" ht="14.55" customHeight="1" x14ac:dyDescent="0.25">
      <c r="A15" s="45">
        <v>4</v>
      </c>
      <c r="B15" s="47">
        <v>158</v>
      </c>
      <c r="C15" s="121" t="str">
        <f t="shared" si="0"/>
        <v>POL19971016</v>
      </c>
      <c r="D15" s="122" t="str">
        <f t="shared" si="1"/>
        <v>KUKLEWICZ Karol</v>
      </c>
      <c r="E15" s="123" t="str">
        <f t="shared" si="2"/>
        <v>MIX7 - MLKS WIELUŃ</v>
      </c>
      <c r="F15" s="124" t="str">
        <f t="shared" si="3"/>
        <v>LOD009</v>
      </c>
      <c r="G15" s="125" t="str">
        <f t="shared" si="4"/>
        <v xml:space="preserve">JUNIOR </v>
      </c>
      <c r="H15" s="125" t="str">
        <f t="shared" si="5"/>
        <v>RLM</v>
      </c>
      <c r="I15" s="164">
        <f t="shared" si="6"/>
        <v>7.8252314814814816E-2</v>
      </c>
      <c r="J15" s="70">
        <f t="shared" si="7"/>
        <v>1.157407407407357E-4</v>
      </c>
      <c r="K15" s="70"/>
      <c r="M15" s="127">
        <f t="shared" si="8"/>
        <v>4</v>
      </c>
      <c r="P15" s="165">
        <v>4</v>
      </c>
      <c r="Q15" s="166">
        <v>158</v>
      </c>
      <c r="R15" s="167">
        <v>7.8252314814814816E-2</v>
      </c>
      <c r="S15" s="168">
        <v>0</v>
      </c>
      <c r="T15" s="169"/>
      <c r="U15" s="170"/>
      <c r="V15" s="171"/>
      <c r="W15" s="172"/>
      <c r="X15" s="165"/>
      <c r="Y15" s="166"/>
      <c r="Z15" s="167"/>
      <c r="AA15" s="168"/>
      <c r="AB15" s="169"/>
      <c r="AC15" s="170"/>
      <c r="AD15" s="173"/>
      <c r="AE15" s="172"/>
      <c r="AF15" s="168"/>
      <c r="AG15" s="71"/>
    </row>
    <row r="16" spans="1:33" s="127" customFormat="1" ht="14.55" customHeight="1" x14ac:dyDescent="0.25">
      <c r="A16" s="45">
        <v>5</v>
      </c>
      <c r="B16" s="47">
        <v>73</v>
      </c>
      <c r="C16" s="121" t="str">
        <f t="shared" si="0"/>
        <v>CZE19991022*</v>
      </c>
      <c r="D16" s="122" t="str">
        <f t="shared" si="1"/>
        <v xml:space="preserve">BABOR Daniel </v>
      </c>
      <c r="E16" s="123" t="str">
        <f t="shared" si="2"/>
        <v xml:space="preserve">MIX2  - TJ KOVO PRAHA </v>
      </c>
      <c r="F16" s="124">
        <f t="shared" si="3"/>
        <v>10972</v>
      </c>
      <c r="G16" s="125" t="str">
        <f t="shared" si="4"/>
        <v>CADET</v>
      </c>
      <c r="H16" s="125" t="str">
        <f t="shared" si="5"/>
        <v>KOV</v>
      </c>
      <c r="I16" s="164">
        <f t="shared" si="6"/>
        <v>7.8252314814814816E-2</v>
      </c>
      <c r="J16" s="70">
        <f t="shared" si="7"/>
        <v>1.157407407407357E-4</v>
      </c>
      <c r="K16" s="70"/>
      <c r="M16" s="127">
        <f t="shared" si="8"/>
        <v>5</v>
      </c>
      <c r="P16" s="165">
        <v>5</v>
      </c>
      <c r="Q16" s="166">
        <v>73</v>
      </c>
      <c r="R16" s="167">
        <v>7.8252314814814816E-2</v>
      </c>
      <c r="S16" s="168">
        <v>0</v>
      </c>
      <c r="T16" s="169"/>
      <c r="U16" s="170"/>
      <c r="V16" s="171"/>
      <c r="W16" s="172"/>
      <c r="X16" s="165"/>
      <c r="Y16" s="166"/>
      <c r="Z16" s="167"/>
      <c r="AA16" s="168"/>
      <c r="AB16" s="169"/>
      <c r="AC16" s="170"/>
      <c r="AD16" s="173"/>
      <c r="AE16" s="172"/>
      <c r="AF16" s="168"/>
      <c r="AG16" s="71"/>
    </row>
    <row r="17" spans="1:33" s="127" customFormat="1" ht="14.55" customHeight="1" x14ac:dyDescent="0.25">
      <c r="A17" s="45">
        <v>6</v>
      </c>
      <c r="B17" s="47">
        <v>75</v>
      </c>
      <c r="C17" s="121" t="str">
        <f t="shared" si="0"/>
        <v>CZE19970804</v>
      </c>
      <c r="D17" s="122" t="str">
        <f t="shared" si="1"/>
        <v xml:space="preserve">SPUDIL Martin </v>
      </c>
      <c r="E17" s="123" t="str">
        <f t="shared" si="2"/>
        <v xml:space="preserve">MIX2  - SP KOLO LOAP SPECIALIZED </v>
      </c>
      <c r="F17" s="124">
        <f t="shared" si="3"/>
        <v>10880</v>
      </c>
      <c r="G17" s="125" t="str">
        <f t="shared" si="4"/>
        <v xml:space="preserve">JUNIOR </v>
      </c>
      <c r="H17" s="125" t="str">
        <f t="shared" si="5"/>
        <v>KOV</v>
      </c>
      <c r="I17" s="164">
        <f t="shared" si="6"/>
        <v>7.8252314814814816E-2</v>
      </c>
      <c r="J17" s="70">
        <f t="shared" si="7"/>
        <v>1.157407407407357E-4</v>
      </c>
      <c r="K17" s="70"/>
      <c r="M17" s="127">
        <f t="shared" si="8"/>
        <v>6</v>
      </c>
      <c r="P17" s="165">
        <v>6</v>
      </c>
      <c r="Q17" s="166">
        <v>75</v>
      </c>
      <c r="R17" s="167">
        <v>7.8252314814814816E-2</v>
      </c>
      <c r="S17" s="168">
        <v>0</v>
      </c>
      <c r="T17" s="169"/>
      <c r="U17" s="170"/>
      <c r="V17" s="171"/>
      <c r="W17" s="172"/>
      <c r="X17" s="165"/>
      <c r="Y17" s="166"/>
      <c r="Z17" s="167"/>
      <c r="AA17" s="168"/>
      <c r="AB17" s="169"/>
      <c r="AC17" s="170"/>
      <c r="AD17" s="173"/>
      <c r="AE17" s="172"/>
      <c r="AF17" s="168"/>
      <c r="AG17" s="71"/>
    </row>
    <row r="18" spans="1:33" s="127" customFormat="1" ht="14.55" customHeight="1" x14ac:dyDescent="0.25">
      <c r="A18" s="45">
        <v>7</v>
      </c>
      <c r="B18" s="47">
        <v>156</v>
      </c>
      <c r="C18" s="121" t="str">
        <f t="shared" si="0"/>
        <v>AUT19971004</v>
      </c>
      <c r="D18" s="122" t="str">
        <f t="shared" si="1"/>
        <v>GRUBER Julian</v>
      </c>
      <c r="E18" s="123" t="str">
        <f t="shared" si="2"/>
        <v>MIX7 - RLM WIEN (RADLEISTUNGSMODELL WIEN)</v>
      </c>
      <c r="F18" s="124">
        <f t="shared" si="3"/>
        <v>100044</v>
      </c>
      <c r="G18" s="125" t="str">
        <f t="shared" si="4"/>
        <v xml:space="preserve">JUNIOR </v>
      </c>
      <c r="H18" s="125" t="str">
        <f t="shared" si="5"/>
        <v>RLM</v>
      </c>
      <c r="I18" s="164">
        <f t="shared" si="6"/>
        <v>7.8252314814814816E-2</v>
      </c>
      <c r="J18" s="70">
        <f t="shared" si="7"/>
        <v>1.157407407407357E-4</v>
      </c>
      <c r="K18" s="70"/>
      <c r="M18" s="127">
        <f t="shared" si="8"/>
        <v>7</v>
      </c>
      <c r="P18" s="165">
        <v>7</v>
      </c>
      <c r="Q18" s="166">
        <v>156</v>
      </c>
      <c r="R18" s="167">
        <v>7.8252314814814816E-2</v>
      </c>
      <c r="S18" s="168">
        <v>0</v>
      </c>
      <c r="T18" s="169"/>
      <c r="U18" s="170"/>
      <c r="V18" s="171"/>
      <c r="W18" s="172"/>
      <c r="X18" s="165"/>
      <c r="Y18" s="166"/>
      <c r="Z18" s="167"/>
      <c r="AA18" s="168"/>
      <c r="AB18" s="169"/>
      <c r="AC18" s="170"/>
      <c r="AD18" s="173"/>
      <c r="AE18" s="172"/>
      <c r="AF18" s="168"/>
      <c r="AG18" s="71"/>
    </row>
    <row r="19" spans="1:33" s="127" customFormat="1" ht="14.55" customHeight="1" x14ac:dyDescent="0.25">
      <c r="A19" s="45">
        <v>8</v>
      </c>
      <c r="B19" s="47">
        <v>81</v>
      </c>
      <c r="C19" s="121" t="str">
        <f t="shared" si="0"/>
        <v>*GER19980505</v>
      </c>
      <c r="D19" s="122" t="str">
        <f t="shared" si="1"/>
        <v>HAUPT Tarik</v>
      </c>
      <c r="E19" s="123" t="str">
        <f t="shared" si="2"/>
        <v>GERMAN NATIONAL TEAM</v>
      </c>
      <c r="F19" s="124" t="str">
        <f t="shared" si="3"/>
        <v>BER032308</v>
      </c>
      <c r="G19" s="125" t="str">
        <f t="shared" si="4"/>
        <v>JUNIOR *</v>
      </c>
      <c r="H19" s="125" t="str">
        <f t="shared" si="5"/>
        <v>GER</v>
      </c>
      <c r="I19" s="164">
        <f t="shared" si="6"/>
        <v>7.8252314814814816E-2</v>
      </c>
      <c r="J19" s="70">
        <f t="shared" si="7"/>
        <v>1.157407407407357E-4</v>
      </c>
      <c r="K19" s="70"/>
      <c r="M19" s="127">
        <f t="shared" si="8"/>
        <v>8</v>
      </c>
      <c r="P19" s="165">
        <v>8</v>
      </c>
      <c r="Q19" s="166">
        <v>81</v>
      </c>
      <c r="R19" s="167">
        <v>7.8252314814814816E-2</v>
      </c>
      <c r="S19" s="168">
        <v>0</v>
      </c>
      <c r="T19" s="169"/>
      <c r="U19" s="170"/>
      <c r="V19" s="171"/>
      <c r="W19" s="172"/>
      <c r="X19" s="165"/>
      <c r="Y19" s="166"/>
      <c r="Z19" s="167"/>
      <c r="AA19" s="168"/>
      <c r="AB19" s="169"/>
      <c r="AC19" s="170"/>
      <c r="AD19" s="173"/>
      <c r="AE19" s="172"/>
      <c r="AF19" s="168"/>
      <c r="AG19" s="71"/>
    </row>
    <row r="20" spans="1:33" s="127" customFormat="1" ht="14.55" customHeight="1" x14ac:dyDescent="0.25">
      <c r="A20" s="45">
        <v>9</v>
      </c>
      <c r="B20" s="47">
        <v>136</v>
      </c>
      <c r="C20" s="121" t="str">
        <f t="shared" si="0"/>
        <v>*SVK19980617</v>
      </c>
      <c r="D20" s="122" t="str">
        <f t="shared" si="1"/>
        <v>KLÁTIK David</v>
      </c>
      <c r="E20" s="123" t="str">
        <f t="shared" si="2"/>
        <v>MIX5 - TJ SLAVIA SG TRENČÍN</v>
      </c>
      <c r="F20" s="124" t="str">
        <f t="shared" si="3"/>
        <v>S 6351</v>
      </c>
      <c r="G20" s="125" t="str">
        <f t="shared" si="4"/>
        <v>JUNIOR *</v>
      </c>
      <c r="H20" s="125" t="str">
        <f t="shared" si="5"/>
        <v>SGT</v>
      </c>
      <c r="I20" s="164">
        <f t="shared" si="6"/>
        <v>7.8252314814814816E-2</v>
      </c>
      <c r="J20" s="70">
        <f t="shared" si="7"/>
        <v>1.157407407407357E-4</v>
      </c>
      <c r="K20" s="70"/>
      <c r="M20" s="127">
        <f t="shared" si="8"/>
        <v>9</v>
      </c>
      <c r="P20" s="165">
        <v>9</v>
      </c>
      <c r="Q20" s="166">
        <v>136</v>
      </c>
      <c r="R20" s="167">
        <v>7.8252314814814816E-2</v>
      </c>
      <c r="S20" s="168">
        <v>0</v>
      </c>
      <c r="T20" s="169"/>
      <c r="U20" s="170"/>
      <c r="V20" s="171"/>
      <c r="W20" s="172"/>
      <c r="X20" s="165"/>
      <c r="Y20" s="166"/>
      <c r="Z20" s="167"/>
      <c r="AA20" s="168"/>
      <c r="AB20" s="169"/>
      <c r="AC20" s="170"/>
      <c r="AD20" s="173"/>
      <c r="AE20" s="172"/>
      <c r="AF20" s="168"/>
      <c r="AG20" s="71"/>
    </row>
    <row r="21" spans="1:33" s="127" customFormat="1" ht="14.55" customHeight="1" x14ac:dyDescent="0.25">
      <c r="A21" s="45">
        <v>10</v>
      </c>
      <c r="B21" s="47">
        <v>43</v>
      </c>
      <c r="C21" s="121" t="str">
        <f t="shared" si="0"/>
        <v>*CZE19981115</v>
      </c>
      <c r="D21" s="122" t="str">
        <f t="shared" si="1"/>
        <v xml:space="preserve">KOČAŘÍK Václav </v>
      </c>
      <c r="E21" s="123" t="str">
        <f t="shared" si="2"/>
        <v xml:space="preserve">SKC TUFO PROSTĚJOV </v>
      </c>
      <c r="F21" s="124">
        <f t="shared" si="3"/>
        <v>9513</v>
      </c>
      <c r="G21" s="125" t="str">
        <f t="shared" si="4"/>
        <v>JUNIOR *</v>
      </c>
      <c r="H21" s="125" t="str">
        <f t="shared" si="5"/>
        <v>STP</v>
      </c>
      <c r="I21" s="164">
        <f t="shared" si="6"/>
        <v>7.8252314814814816E-2</v>
      </c>
      <c r="J21" s="70">
        <f t="shared" si="7"/>
        <v>1.157407407407357E-4</v>
      </c>
      <c r="K21" s="70"/>
      <c r="M21" s="127">
        <f t="shared" si="8"/>
        <v>10</v>
      </c>
      <c r="P21" s="165">
        <v>10</v>
      </c>
      <c r="Q21" s="166">
        <v>43</v>
      </c>
      <c r="R21" s="167">
        <v>7.8252314814814816E-2</v>
      </c>
      <c r="S21" s="168">
        <v>0</v>
      </c>
      <c r="T21" s="169"/>
      <c r="U21" s="170"/>
      <c r="V21" s="171"/>
      <c r="W21" s="172"/>
      <c r="X21" s="165"/>
      <c r="Y21" s="166"/>
      <c r="Z21" s="167"/>
      <c r="AA21" s="168"/>
      <c r="AB21" s="169"/>
      <c r="AC21" s="170"/>
      <c r="AD21" s="173"/>
      <c r="AE21" s="172"/>
      <c r="AF21" s="168"/>
      <c r="AG21" s="71"/>
    </row>
    <row r="22" spans="1:33" s="127" customFormat="1" ht="14.55" customHeight="1" x14ac:dyDescent="0.25">
      <c r="A22" s="45">
        <v>11</v>
      </c>
      <c r="B22" s="47">
        <v>114</v>
      </c>
      <c r="C22" s="121" t="str">
        <f t="shared" si="0"/>
        <v>CZE19991205*</v>
      </c>
      <c r="D22" s="122" t="str">
        <f t="shared" si="1"/>
        <v xml:space="preserve">SYROVÁTKA Matěj </v>
      </c>
      <c r="E22" s="123" t="str">
        <f t="shared" si="2"/>
        <v xml:space="preserve">MIX3 - ČEZ CYKLO TEAM TÁBOR </v>
      </c>
      <c r="F22" s="124">
        <f t="shared" si="3"/>
        <v>19867</v>
      </c>
      <c r="G22" s="125" t="str">
        <f t="shared" si="4"/>
        <v>CADET</v>
      </c>
      <c r="H22" s="125" t="str">
        <f t="shared" si="5"/>
        <v>CPP</v>
      </c>
      <c r="I22" s="164">
        <f t="shared" si="6"/>
        <v>7.8252314814814816E-2</v>
      </c>
      <c r="J22" s="70">
        <f t="shared" si="7"/>
        <v>1.157407407407357E-4</v>
      </c>
      <c r="K22" s="70"/>
      <c r="M22" s="127">
        <f t="shared" si="8"/>
        <v>11</v>
      </c>
      <c r="P22" s="165">
        <v>11</v>
      </c>
      <c r="Q22" s="166">
        <v>114</v>
      </c>
      <c r="R22" s="167">
        <v>7.8252314814814816E-2</v>
      </c>
      <c r="S22" s="168">
        <v>0</v>
      </c>
      <c r="T22" s="169"/>
      <c r="U22" s="170"/>
      <c r="V22" s="171"/>
      <c r="W22" s="172"/>
      <c r="X22" s="165"/>
      <c r="Y22" s="166"/>
      <c r="Z22" s="167"/>
      <c r="AA22" s="168"/>
      <c r="AB22" s="169"/>
      <c r="AC22" s="170"/>
      <c r="AD22" s="173"/>
      <c r="AE22" s="172"/>
      <c r="AF22" s="168"/>
      <c r="AG22" s="71"/>
    </row>
    <row r="23" spans="1:33" s="127" customFormat="1" ht="14.55" customHeight="1" x14ac:dyDescent="0.25">
      <c r="A23" s="45">
        <v>12</v>
      </c>
      <c r="B23" s="47">
        <v>11</v>
      </c>
      <c r="C23" s="121" t="str">
        <f t="shared" si="0"/>
        <v>GER19970217</v>
      </c>
      <c r="D23" s="122" t="str">
        <f t="shared" si="1"/>
        <v>SCHMIEDEL Sebastian</v>
      </c>
      <c r="E23" s="123" t="str">
        <f t="shared" si="2"/>
        <v>THÜRINGER RADSPORT VERBAND</v>
      </c>
      <c r="F23" s="124" t="str">
        <f t="shared" si="3"/>
        <v>THÜ134870</v>
      </c>
      <c r="G23" s="125" t="str">
        <f t="shared" si="4"/>
        <v xml:space="preserve">JUNIOR </v>
      </c>
      <c r="H23" s="125" t="str">
        <f t="shared" si="5"/>
        <v>THU</v>
      </c>
      <c r="I23" s="164">
        <f t="shared" si="6"/>
        <v>7.8252314814814816E-2</v>
      </c>
      <c r="J23" s="70">
        <f t="shared" si="7"/>
        <v>1.157407407407357E-4</v>
      </c>
      <c r="K23" s="70"/>
      <c r="M23" s="127">
        <f t="shared" si="8"/>
        <v>12</v>
      </c>
      <c r="P23" s="165">
        <v>12</v>
      </c>
      <c r="Q23" s="166">
        <v>11</v>
      </c>
      <c r="R23" s="167">
        <v>7.8252314814814816E-2</v>
      </c>
      <c r="S23" s="168">
        <v>0</v>
      </c>
      <c r="T23" s="169"/>
      <c r="U23" s="170"/>
      <c r="V23" s="171"/>
      <c r="W23" s="172"/>
      <c r="X23" s="165"/>
      <c r="Y23" s="166"/>
      <c r="Z23" s="167"/>
      <c r="AA23" s="168"/>
      <c r="AB23" s="169"/>
      <c r="AC23" s="170"/>
      <c r="AD23" s="173"/>
      <c r="AE23" s="172"/>
      <c r="AF23" s="168"/>
      <c r="AG23" s="71"/>
    </row>
    <row r="24" spans="1:33" s="127" customFormat="1" ht="14.55" customHeight="1" x14ac:dyDescent="0.25">
      <c r="A24" s="45">
        <v>13</v>
      </c>
      <c r="B24" s="47">
        <v>95</v>
      </c>
      <c r="C24" s="121" t="str">
        <f t="shared" si="0"/>
        <v>*GER19981026</v>
      </c>
      <c r="D24" s="122" t="str">
        <f t="shared" si="1"/>
        <v>KUNERT Pepe</v>
      </c>
      <c r="E24" s="123" t="str">
        <f t="shared" si="2"/>
        <v>RG BERLIN</v>
      </c>
      <c r="F24" s="124" t="str">
        <f t="shared" si="3"/>
        <v>BER032402</v>
      </c>
      <c r="G24" s="125" t="str">
        <f t="shared" si="4"/>
        <v>JUNIOR *</v>
      </c>
      <c r="H24" s="125" t="str">
        <f t="shared" si="5"/>
        <v>RGB</v>
      </c>
      <c r="I24" s="164">
        <f t="shared" si="6"/>
        <v>7.8252314814814816E-2</v>
      </c>
      <c r="J24" s="70">
        <f t="shared" si="7"/>
        <v>1.157407407407357E-4</v>
      </c>
      <c r="K24" s="70"/>
      <c r="M24" s="127">
        <f t="shared" si="8"/>
        <v>13</v>
      </c>
      <c r="P24" s="165">
        <v>13</v>
      </c>
      <c r="Q24" s="166">
        <v>95</v>
      </c>
      <c r="R24" s="167">
        <v>7.8252314814814816E-2</v>
      </c>
      <c r="S24" s="168">
        <v>0</v>
      </c>
      <c r="T24" s="169"/>
      <c r="U24" s="170"/>
      <c r="V24" s="171"/>
      <c r="W24" s="172"/>
      <c r="X24" s="165"/>
      <c r="Y24" s="166"/>
      <c r="Z24" s="167"/>
      <c r="AA24" s="168"/>
      <c r="AB24" s="169"/>
      <c r="AC24" s="170"/>
      <c r="AD24" s="173"/>
      <c r="AE24" s="172"/>
      <c r="AF24" s="168"/>
      <c r="AG24" s="71"/>
    </row>
    <row r="25" spans="1:33" s="127" customFormat="1" ht="14.55" customHeight="1" x14ac:dyDescent="0.25">
      <c r="A25" s="45">
        <v>14</v>
      </c>
      <c r="B25" s="47">
        <v>112</v>
      </c>
      <c r="C25" s="121" t="str">
        <f t="shared" si="0"/>
        <v>*CZE19980616</v>
      </c>
      <c r="D25" s="122" t="str">
        <f t="shared" si="1"/>
        <v xml:space="preserve">DRDEK Dominik </v>
      </c>
      <c r="E25" s="123" t="str">
        <f t="shared" si="2"/>
        <v xml:space="preserve">MIX3 - ČEZ CYKLO TEAM TÁBOR </v>
      </c>
      <c r="F25" s="124">
        <f t="shared" si="3"/>
        <v>8397</v>
      </c>
      <c r="G25" s="125" t="str">
        <f t="shared" si="4"/>
        <v>JUNIOR *</v>
      </c>
      <c r="H25" s="125" t="str">
        <f t="shared" si="5"/>
        <v>CPP</v>
      </c>
      <c r="I25" s="164">
        <f t="shared" si="6"/>
        <v>7.8252314814814816E-2</v>
      </c>
      <c r="J25" s="70">
        <f t="shared" si="7"/>
        <v>1.157407407407357E-4</v>
      </c>
      <c r="K25" s="70"/>
      <c r="M25" s="127">
        <f t="shared" si="8"/>
        <v>14</v>
      </c>
      <c r="P25" s="165">
        <v>14</v>
      </c>
      <c r="Q25" s="166">
        <v>112</v>
      </c>
      <c r="R25" s="167">
        <v>7.8252314814814816E-2</v>
      </c>
      <c r="S25" s="168">
        <v>0</v>
      </c>
      <c r="T25" s="169"/>
      <c r="U25" s="170"/>
      <c r="V25" s="171"/>
      <c r="W25" s="172"/>
      <c r="X25" s="165"/>
      <c r="Y25" s="166"/>
      <c r="Z25" s="167"/>
      <c r="AA25" s="168"/>
      <c r="AB25" s="169"/>
      <c r="AC25" s="170"/>
      <c r="AD25" s="173"/>
      <c r="AE25" s="172"/>
      <c r="AF25" s="168"/>
      <c r="AG25" s="71"/>
    </row>
    <row r="26" spans="1:33" s="127" customFormat="1" ht="14.55" customHeight="1" x14ac:dyDescent="0.25">
      <c r="A26" s="45">
        <v>15</v>
      </c>
      <c r="B26" s="47">
        <v>101</v>
      </c>
      <c r="C26" s="121" t="str">
        <f t="shared" si="0"/>
        <v>SVK19971212</v>
      </c>
      <c r="D26" s="122" t="str">
        <f t="shared" si="1"/>
        <v>KOVÁČIK Vladimír</v>
      </c>
      <c r="E26" s="123" t="str">
        <f t="shared" si="2"/>
        <v>SLOVAK CYCLING FEDERATION</v>
      </c>
      <c r="F26" s="124" t="str">
        <f t="shared" si="3"/>
        <v>S 5733</v>
      </c>
      <c r="G26" s="125" t="str">
        <f t="shared" si="4"/>
        <v xml:space="preserve">JUNIOR </v>
      </c>
      <c r="H26" s="125" t="str">
        <f t="shared" si="5"/>
        <v>SVK</v>
      </c>
      <c r="I26" s="164">
        <f t="shared" si="6"/>
        <v>7.8252314814814816E-2</v>
      </c>
      <c r="J26" s="70">
        <f t="shared" si="7"/>
        <v>1.157407407407357E-4</v>
      </c>
      <c r="K26" s="70"/>
      <c r="M26" s="127">
        <f t="shared" si="8"/>
        <v>15</v>
      </c>
      <c r="P26" s="165">
        <v>15</v>
      </c>
      <c r="Q26" s="166">
        <v>101</v>
      </c>
      <c r="R26" s="167">
        <v>7.8252314814814816E-2</v>
      </c>
      <c r="S26" s="168">
        <v>0</v>
      </c>
      <c r="T26" s="169"/>
      <c r="U26" s="170"/>
      <c r="V26" s="171"/>
      <c r="W26" s="172"/>
      <c r="X26" s="165"/>
      <c r="Y26" s="166"/>
      <c r="Z26" s="167"/>
      <c r="AA26" s="168"/>
      <c r="AB26" s="169"/>
      <c r="AC26" s="170"/>
      <c r="AD26" s="173"/>
      <c r="AE26" s="172"/>
      <c r="AF26" s="168"/>
      <c r="AG26" s="71"/>
    </row>
    <row r="27" spans="1:33" s="127" customFormat="1" ht="14.55" customHeight="1" x14ac:dyDescent="0.25">
      <c r="A27" s="45">
        <v>16</v>
      </c>
      <c r="B27" s="47">
        <v>53</v>
      </c>
      <c r="C27" s="121" t="str">
        <f t="shared" si="0"/>
        <v>CZE20001009*</v>
      </c>
      <c r="D27" s="122" t="str">
        <f t="shared" si="1"/>
        <v>MIKŠANÍK Vladimír</v>
      </c>
      <c r="E27" s="123" t="str">
        <f t="shared" si="2"/>
        <v>MIX1 - ACK STARÁ VES NAD ONDŘEJNICÍ</v>
      </c>
      <c r="F27" s="124">
        <f t="shared" si="3"/>
        <v>15169</v>
      </c>
      <c r="G27" s="125" t="str">
        <f t="shared" si="4"/>
        <v>CADET</v>
      </c>
      <c r="H27" s="125" t="str">
        <f t="shared" si="5"/>
        <v>SLZ</v>
      </c>
      <c r="I27" s="164">
        <f t="shared" si="6"/>
        <v>7.8252314814814816E-2</v>
      </c>
      <c r="J27" s="70">
        <f t="shared" si="7"/>
        <v>1.157407407407357E-4</v>
      </c>
      <c r="K27" s="70"/>
      <c r="M27" s="127">
        <f t="shared" si="8"/>
        <v>16</v>
      </c>
      <c r="P27" s="165">
        <v>16</v>
      </c>
      <c r="Q27" s="166">
        <v>53</v>
      </c>
      <c r="R27" s="167">
        <v>7.8252314814814816E-2</v>
      </c>
      <c r="S27" s="168">
        <v>0</v>
      </c>
      <c r="T27" s="169"/>
      <c r="U27" s="170"/>
      <c r="V27" s="171"/>
      <c r="W27" s="172"/>
      <c r="X27" s="165"/>
      <c r="Y27" s="166"/>
      <c r="Z27" s="167"/>
      <c r="AA27" s="168"/>
      <c r="AB27" s="169"/>
      <c r="AC27" s="170"/>
      <c r="AD27" s="173"/>
      <c r="AE27" s="172"/>
      <c r="AF27" s="168"/>
      <c r="AG27" s="71"/>
    </row>
    <row r="28" spans="1:33" s="127" customFormat="1" ht="14.55" customHeight="1" x14ac:dyDescent="0.25">
      <c r="A28" s="45">
        <v>17</v>
      </c>
      <c r="B28" s="47">
        <v>163</v>
      </c>
      <c r="C28" s="121" t="str">
        <f t="shared" si="0"/>
        <v>*AUT19980813</v>
      </c>
      <c r="D28" s="122" t="str">
        <f t="shared" si="1"/>
        <v>IRENDORFER Moritz</v>
      </c>
      <c r="E28" s="123" t="str">
        <f t="shared" si="2"/>
        <v>LRV STEIERMARK</v>
      </c>
      <c r="F28" s="124">
        <f t="shared" si="3"/>
        <v>100291</v>
      </c>
      <c r="G28" s="125" t="str">
        <f t="shared" si="4"/>
        <v>JUNIOR *</v>
      </c>
      <c r="H28" s="125" t="str">
        <f t="shared" si="5"/>
        <v>LRS</v>
      </c>
      <c r="I28" s="164">
        <f t="shared" si="6"/>
        <v>7.8252314814814816E-2</v>
      </c>
      <c r="J28" s="70">
        <f t="shared" si="7"/>
        <v>1.157407407407357E-4</v>
      </c>
      <c r="K28" s="70"/>
      <c r="M28" s="127">
        <f t="shared" si="8"/>
        <v>17</v>
      </c>
      <c r="P28" s="165">
        <v>17</v>
      </c>
      <c r="Q28" s="166">
        <v>163</v>
      </c>
      <c r="R28" s="167">
        <v>7.8252314814814816E-2</v>
      </c>
      <c r="S28" s="168">
        <v>0</v>
      </c>
      <c r="T28" s="169"/>
      <c r="U28" s="170"/>
      <c r="V28" s="171"/>
      <c r="W28" s="172"/>
      <c r="X28" s="165"/>
      <c r="Y28" s="166"/>
      <c r="Z28" s="167"/>
      <c r="AA28" s="168"/>
      <c r="AB28" s="169"/>
      <c r="AC28" s="170"/>
      <c r="AD28" s="173"/>
      <c r="AE28" s="172"/>
      <c r="AF28" s="168"/>
      <c r="AG28" s="71"/>
    </row>
    <row r="29" spans="1:33" s="127" customFormat="1" ht="14.55" customHeight="1" x14ac:dyDescent="0.25">
      <c r="A29" s="45">
        <v>18</v>
      </c>
      <c r="B29" s="47">
        <v>63</v>
      </c>
      <c r="C29" s="121" t="str">
        <f t="shared" si="0"/>
        <v>*BEL19980926</v>
      </c>
      <c r="D29" s="122" t="str">
        <f t="shared" si="1"/>
        <v>HUYGEN Wout</v>
      </c>
      <c r="E29" s="123" t="str">
        <f t="shared" si="2"/>
        <v>WAC TEAM HOBOKEN</v>
      </c>
      <c r="F29" s="124">
        <f t="shared" si="3"/>
        <v>57574</v>
      </c>
      <c r="G29" s="125" t="str">
        <f t="shared" si="4"/>
        <v>JUNIOR *</v>
      </c>
      <c r="H29" s="125" t="str">
        <f t="shared" si="5"/>
        <v>WAC</v>
      </c>
      <c r="I29" s="164">
        <f t="shared" si="6"/>
        <v>7.8252314814814816E-2</v>
      </c>
      <c r="J29" s="70">
        <f t="shared" si="7"/>
        <v>1.157407407407357E-4</v>
      </c>
      <c r="K29" s="70"/>
      <c r="M29" s="127">
        <f t="shared" si="8"/>
        <v>18</v>
      </c>
      <c r="P29" s="165">
        <v>18</v>
      </c>
      <c r="Q29" s="166">
        <v>63</v>
      </c>
      <c r="R29" s="167">
        <v>7.8252314814814816E-2</v>
      </c>
      <c r="S29" s="168">
        <v>0</v>
      </c>
      <c r="T29" s="169"/>
      <c r="U29" s="170"/>
      <c r="V29" s="171"/>
      <c r="W29" s="172"/>
      <c r="X29" s="165"/>
      <c r="Y29" s="166"/>
      <c r="Z29" s="167"/>
      <c r="AA29" s="168"/>
      <c r="AB29" s="169"/>
      <c r="AC29" s="170"/>
      <c r="AD29" s="173"/>
      <c r="AE29" s="172"/>
      <c r="AF29" s="168"/>
      <c r="AG29" s="71"/>
    </row>
    <row r="30" spans="1:33" s="127" customFormat="1" ht="14.55" customHeight="1" x14ac:dyDescent="0.25">
      <c r="A30" s="45">
        <v>19</v>
      </c>
      <c r="B30" s="47">
        <v>83</v>
      </c>
      <c r="C30" s="121" t="str">
        <f t="shared" si="0"/>
        <v>*GER19980312</v>
      </c>
      <c r="D30" s="122" t="str">
        <f t="shared" si="1"/>
        <v>MÖBIS Maximilian</v>
      </c>
      <c r="E30" s="123" t="str">
        <f t="shared" si="2"/>
        <v>GERMAN NATIONAL TEAM</v>
      </c>
      <c r="F30" s="124" t="str">
        <f t="shared" si="3"/>
        <v>BER032252</v>
      </c>
      <c r="G30" s="125" t="str">
        <f t="shared" si="4"/>
        <v>JUNIOR *</v>
      </c>
      <c r="H30" s="125" t="str">
        <f t="shared" si="5"/>
        <v>GER</v>
      </c>
      <c r="I30" s="164">
        <f t="shared" si="6"/>
        <v>7.8252314814814816E-2</v>
      </c>
      <c r="J30" s="70">
        <f t="shared" si="7"/>
        <v>1.157407407407357E-4</v>
      </c>
      <c r="K30" s="70"/>
      <c r="M30" s="127">
        <f t="shared" si="8"/>
        <v>19</v>
      </c>
      <c r="P30" s="165">
        <v>19</v>
      </c>
      <c r="Q30" s="166">
        <v>83</v>
      </c>
      <c r="R30" s="167">
        <v>7.8252314814814816E-2</v>
      </c>
      <c r="S30" s="168">
        <v>0</v>
      </c>
      <c r="T30" s="169"/>
      <c r="U30" s="170"/>
      <c r="V30" s="171"/>
      <c r="W30" s="172"/>
      <c r="X30" s="165"/>
      <c r="Y30" s="166"/>
      <c r="Z30" s="167"/>
      <c r="AA30" s="168"/>
      <c r="AB30" s="169"/>
      <c r="AC30" s="170"/>
      <c r="AD30" s="173"/>
      <c r="AE30" s="172"/>
      <c r="AF30" s="168"/>
      <c r="AG30" s="71"/>
    </row>
    <row r="31" spans="1:33" s="127" customFormat="1" ht="14.55" customHeight="1" x14ac:dyDescent="0.25">
      <c r="A31" s="45">
        <v>20</v>
      </c>
      <c r="B31" s="47">
        <v>102</v>
      </c>
      <c r="C31" s="121" t="str">
        <f t="shared" si="0"/>
        <v>SVK19970522</v>
      </c>
      <c r="D31" s="122" t="str">
        <f t="shared" si="1"/>
        <v>KVIETOK Pavol</v>
      </c>
      <c r="E31" s="123" t="str">
        <f t="shared" si="2"/>
        <v>SLOVAK CYCLING FEDERATION</v>
      </c>
      <c r="F31" s="124" t="str">
        <f t="shared" si="3"/>
        <v>S 4591</v>
      </c>
      <c r="G31" s="125" t="str">
        <f t="shared" si="4"/>
        <v xml:space="preserve">JUNIOR </v>
      </c>
      <c r="H31" s="125" t="str">
        <f t="shared" si="5"/>
        <v>SVK</v>
      </c>
      <c r="I31" s="164">
        <f t="shared" si="6"/>
        <v>7.8252314814814816E-2</v>
      </c>
      <c r="J31" s="70">
        <f t="shared" si="7"/>
        <v>1.157407407407357E-4</v>
      </c>
      <c r="K31" s="70"/>
      <c r="M31" s="127">
        <f t="shared" si="8"/>
        <v>20</v>
      </c>
      <c r="P31" s="165">
        <v>20</v>
      </c>
      <c r="Q31" s="166">
        <v>102</v>
      </c>
      <c r="R31" s="167">
        <v>7.8252314814814816E-2</v>
      </c>
      <c r="S31" s="168">
        <v>0</v>
      </c>
      <c r="T31" s="169"/>
      <c r="U31" s="170"/>
      <c r="V31" s="171"/>
      <c r="W31" s="172"/>
      <c r="X31" s="165"/>
      <c r="Y31" s="166"/>
      <c r="Z31" s="167"/>
      <c r="AA31" s="168"/>
      <c r="AB31" s="169"/>
      <c r="AC31" s="170"/>
      <c r="AD31" s="173"/>
      <c r="AE31" s="172"/>
      <c r="AF31" s="168"/>
      <c r="AG31" s="71"/>
    </row>
    <row r="32" spans="1:33" s="127" customFormat="1" ht="14.55" customHeight="1" x14ac:dyDescent="0.25">
      <c r="A32" s="45">
        <v>21</v>
      </c>
      <c r="B32" s="47">
        <v>86</v>
      </c>
      <c r="C32" s="121" t="str">
        <f t="shared" si="0"/>
        <v>*GER19980223</v>
      </c>
      <c r="D32" s="122" t="str">
        <f t="shared" si="1"/>
        <v>PLAMBECK Philipp</v>
      </c>
      <c r="E32" s="123" t="str">
        <f t="shared" si="2"/>
        <v>GERMAN NATIONAL TEAM</v>
      </c>
      <c r="F32" s="124" t="str">
        <f t="shared" si="3"/>
        <v>HAM062726</v>
      </c>
      <c r="G32" s="125" t="str">
        <f t="shared" si="4"/>
        <v>JUNIOR *</v>
      </c>
      <c r="H32" s="125" t="str">
        <f t="shared" si="5"/>
        <v>GER</v>
      </c>
      <c r="I32" s="164">
        <f t="shared" si="6"/>
        <v>7.8252314814814816E-2</v>
      </c>
      <c r="J32" s="70">
        <f t="shared" si="7"/>
        <v>1.157407407407357E-4</v>
      </c>
      <c r="K32" s="70"/>
      <c r="M32" s="127">
        <f t="shared" si="8"/>
        <v>21</v>
      </c>
      <c r="P32" s="165">
        <v>21</v>
      </c>
      <c r="Q32" s="166">
        <v>86</v>
      </c>
      <c r="R32" s="167">
        <v>7.8252314814814816E-2</v>
      </c>
      <c r="S32" s="168">
        <v>0</v>
      </c>
      <c r="T32" s="169"/>
      <c r="U32" s="170"/>
      <c r="V32" s="171"/>
      <c r="W32" s="172"/>
      <c r="X32" s="165"/>
      <c r="Y32" s="166"/>
      <c r="Z32" s="167"/>
      <c r="AA32" s="168"/>
      <c r="AB32" s="169"/>
      <c r="AC32" s="170"/>
      <c r="AD32" s="173"/>
      <c r="AE32" s="172"/>
      <c r="AF32" s="168"/>
      <c r="AG32" s="71"/>
    </row>
    <row r="33" spans="1:33" s="127" customFormat="1" ht="14.55" customHeight="1" x14ac:dyDescent="0.25">
      <c r="A33" s="45">
        <v>22</v>
      </c>
      <c r="B33" s="47">
        <v>54</v>
      </c>
      <c r="C33" s="121" t="str">
        <f t="shared" si="0"/>
        <v>*CZE19980726</v>
      </c>
      <c r="D33" s="122" t="str">
        <f t="shared" si="1"/>
        <v>POKORNÝ Petr</v>
      </c>
      <c r="E33" s="123" t="str">
        <f t="shared" si="2"/>
        <v>MIX1 - ACK STARÁ VES NAD ONDŘEJNICÍ</v>
      </c>
      <c r="F33" s="124">
        <f t="shared" si="3"/>
        <v>9870</v>
      </c>
      <c r="G33" s="125" t="str">
        <f t="shared" si="4"/>
        <v>JUNIOR *</v>
      </c>
      <c r="H33" s="125" t="str">
        <f t="shared" si="5"/>
        <v>SLZ</v>
      </c>
      <c r="I33" s="164">
        <f t="shared" si="6"/>
        <v>7.8252314814814816E-2</v>
      </c>
      <c r="J33" s="70">
        <f t="shared" si="7"/>
        <v>1.157407407407357E-4</v>
      </c>
      <c r="K33" s="70"/>
      <c r="M33" s="127">
        <f t="shared" si="8"/>
        <v>22</v>
      </c>
      <c r="P33" s="165">
        <v>22</v>
      </c>
      <c r="Q33" s="166">
        <v>54</v>
      </c>
      <c r="R33" s="167">
        <v>7.8252314814814816E-2</v>
      </c>
      <c r="S33" s="168">
        <v>0</v>
      </c>
      <c r="T33" s="169"/>
      <c r="U33" s="170"/>
      <c r="V33" s="171"/>
      <c r="W33" s="172"/>
      <c r="X33" s="165"/>
      <c r="Y33" s="166"/>
      <c r="Z33" s="167"/>
      <c r="AA33" s="168"/>
      <c r="AB33" s="169"/>
      <c r="AC33" s="170"/>
      <c r="AD33" s="173"/>
      <c r="AE33" s="172"/>
      <c r="AF33" s="168"/>
      <c r="AG33" s="71"/>
    </row>
    <row r="34" spans="1:33" s="127" customFormat="1" ht="14.55" customHeight="1" x14ac:dyDescent="0.25">
      <c r="A34" s="45">
        <v>23</v>
      </c>
      <c r="B34" s="47">
        <v>58</v>
      </c>
      <c r="C34" s="121" t="str">
        <f t="shared" si="0"/>
        <v>POL19990111*</v>
      </c>
      <c r="D34" s="122" t="str">
        <f t="shared" si="1"/>
        <v xml:space="preserve">MIGAS Dawid </v>
      </c>
      <c r="E34" s="123" t="str">
        <f t="shared" si="2"/>
        <v xml:space="preserve">MIX1 - GRUPA KOLARSKA GLIWICE </v>
      </c>
      <c r="F34" s="124" t="str">
        <f t="shared" si="3"/>
        <v>SLA284</v>
      </c>
      <c r="G34" s="125" t="str">
        <f t="shared" si="4"/>
        <v>CADET</v>
      </c>
      <c r="H34" s="125" t="str">
        <f t="shared" si="5"/>
        <v>SLZ</v>
      </c>
      <c r="I34" s="164">
        <f t="shared" si="6"/>
        <v>7.8252314814814816E-2</v>
      </c>
      <c r="J34" s="70">
        <f t="shared" si="7"/>
        <v>1.157407407407357E-4</v>
      </c>
      <c r="K34" s="70"/>
      <c r="M34" s="127">
        <f t="shared" si="8"/>
        <v>23</v>
      </c>
      <c r="P34" s="165">
        <v>23</v>
      </c>
      <c r="Q34" s="166">
        <v>58</v>
      </c>
      <c r="R34" s="167">
        <v>7.8252314814814816E-2</v>
      </c>
      <c r="S34" s="168">
        <v>0</v>
      </c>
      <c r="T34" s="169"/>
      <c r="U34" s="170"/>
      <c r="V34" s="171"/>
      <c r="W34" s="172"/>
      <c r="X34" s="165"/>
      <c r="Y34" s="166"/>
      <c r="Z34" s="167"/>
      <c r="AA34" s="168"/>
      <c r="AB34" s="169"/>
      <c r="AC34" s="170"/>
      <c r="AD34" s="173"/>
      <c r="AE34" s="172"/>
      <c r="AF34" s="168"/>
      <c r="AG34" s="71"/>
    </row>
    <row r="35" spans="1:33" s="127" customFormat="1" ht="14.55" customHeight="1" x14ac:dyDescent="0.25">
      <c r="A35" s="45">
        <v>24</v>
      </c>
      <c r="B35" s="47">
        <v>68</v>
      </c>
      <c r="C35" s="121" t="str">
        <f t="shared" si="0"/>
        <v>*BEL19980331</v>
      </c>
      <c r="D35" s="122" t="str">
        <f t="shared" si="1"/>
        <v>VAN STEENSEL Mats</v>
      </c>
      <c r="E35" s="123" t="str">
        <f t="shared" si="2"/>
        <v>WAC TEAM HOBOKEN</v>
      </c>
      <c r="F35" s="124">
        <f t="shared" si="3"/>
        <v>51298</v>
      </c>
      <c r="G35" s="125" t="str">
        <f t="shared" si="4"/>
        <v>JUNIOR *</v>
      </c>
      <c r="H35" s="125" t="str">
        <f t="shared" si="5"/>
        <v>WAC</v>
      </c>
      <c r="I35" s="164">
        <f t="shared" si="6"/>
        <v>7.8252314814814816E-2</v>
      </c>
      <c r="J35" s="70">
        <f t="shared" si="7"/>
        <v>1.157407407407357E-4</v>
      </c>
      <c r="K35" s="70"/>
      <c r="M35" s="127">
        <f t="shared" si="8"/>
        <v>24</v>
      </c>
      <c r="P35" s="165">
        <v>24</v>
      </c>
      <c r="Q35" s="166">
        <v>68</v>
      </c>
      <c r="R35" s="167">
        <v>7.8252314814814816E-2</v>
      </c>
      <c r="S35" s="168">
        <v>0</v>
      </c>
      <c r="T35" s="169"/>
      <c r="U35" s="170"/>
      <c r="V35" s="171"/>
      <c r="W35" s="172"/>
      <c r="X35" s="165"/>
      <c r="Y35" s="166"/>
      <c r="Z35" s="167"/>
      <c r="AA35" s="168"/>
      <c r="AB35" s="169"/>
      <c r="AC35" s="170"/>
      <c r="AD35" s="173"/>
      <c r="AE35" s="172"/>
      <c r="AF35" s="168"/>
      <c r="AG35" s="71"/>
    </row>
    <row r="36" spans="1:33" s="127" customFormat="1" ht="14.55" customHeight="1" x14ac:dyDescent="0.25">
      <c r="A36" s="45">
        <v>25</v>
      </c>
      <c r="B36" s="47">
        <v>31</v>
      </c>
      <c r="C36" s="121" t="str">
        <f t="shared" si="0"/>
        <v>GER19970806</v>
      </c>
      <c r="D36" s="122" t="str">
        <f t="shared" si="1"/>
        <v>BINAY Noah</v>
      </c>
      <c r="E36" s="123" t="str">
        <f t="shared" si="2"/>
        <v>JUNIOREN SCHWALBE TEAM SACHSEN</v>
      </c>
      <c r="F36" s="124" t="str">
        <f t="shared" si="3"/>
        <v>SAC142218</v>
      </c>
      <c r="G36" s="125" t="str">
        <f t="shared" si="4"/>
        <v xml:space="preserve">JUNIOR </v>
      </c>
      <c r="H36" s="125" t="str">
        <f t="shared" si="5"/>
        <v>SAC</v>
      </c>
      <c r="I36" s="164">
        <f t="shared" si="6"/>
        <v>7.8252314814814816E-2</v>
      </c>
      <c r="J36" s="70">
        <f t="shared" si="7"/>
        <v>1.157407407407357E-4</v>
      </c>
      <c r="K36" s="70"/>
      <c r="M36" s="127">
        <f t="shared" si="8"/>
        <v>25</v>
      </c>
      <c r="P36" s="165">
        <v>25</v>
      </c>
      <c r="Q36" s="166">
        <v>31</v>
      </c>
      <c r="R36" s="167">
        <v>7.8252314814814816E-2</v>
      </c>
      <c r="S36" s="168">
        <v>0</v>
      </c>
      <c r="T36" s="169"/>
      <c r="U36" s="170"/>
      <c r="V36" s="171"/>
      <c r="W36" s="172"/>
      <c r="X36" s="165"/>
      <c r="Y36" s="166"/>
      <c r="Z36" s="167"/>
      <c r="AA36" s="168"/>
      <c r="AB36" s="169"/>
      <c r="AC36" s="170"/>
      <c r="AD36" s="173"/>
      <c r="AE36" s="172"/>
      <c r="AF36" s="168"/>
      <c r="AG36" s="71"/>
    </row>
    <row r="37" spans="1:33" s="127" customFormat="1" ht="14.55" customHeight="1" x14ac:dyDescent="0.25">
      <c r="A37" s="45">
        <v>26</v>
      </c>
      <c r="B37" s="47">
        <v>118</v>
      </c>
      <c r="C37" s="121" t="str">
        <f t="shared" si="0"/>
        <v>CZE19970110</v>
      </c>
      <c r="D37" s="122" t="str">
        <f t="shared" si="1"/>
        <v xml:space="preserve">KŘIKAVA Jakub </v>
      </c>
      <c r="E37" s="123" t="str">
        <f t="shared" si="2"/>
        <v xml:space="preserve">MIX3 - TJ ZČE CYKLISTIKA PLZEŇ </v>
      </c>
      <c r="F37" s="124">
        <f t="shared" si="3"/>
        <v>9167</v>
      </c>
      <c r="G37" s="125" t="str">
        <f t="shared" si="4"/>
        <v xml:space="preserve">JUNIOR </v>
      </c>
      <c r="H37" s="125" t="str">
        <f t="shared" si="5"/>
        <v>CPP</v>
      </c>
      <c r="I37" s="164">
        <f t="shared" si="6"/>
        <v>7.8252314814814816E-2</v>
      </c>
      <c r="J37" s="70">
        <f t="shared" si="7"/>
        <v>1.157407407407357E-4</v>
      </c>
      <c r="K37" s="70"/>
      <c r="M37" s="127">
        <f t="shared" si="8"/>
        <v>26</v>
      </c>
      <c r="P37" s="165">
        <v>26</v>
      </c>
      <c r="Q37" s="166">
        <v>118</v>
      </c>
      <c r="R37" s="167">
        <v>7.8252314814814816E-2</v>
      </c>
      <c r="S37" s="168">
        <v>0</v>
      </c>
      <c r="T37" s="169"/>
      <c r="U37" s="170"/>
      <c r="V37" s="171"/>
      <c r="W37" s="172"/>
      <c r="X37" s="165"/>
      <c r="Y37" s="166"/>
      <c r="Z37" s="167"/>
      <c r="AA37" s="168"/>
      <c r="AB37" s="169"/>
      <c r="AC37" s="170"/>
      <c r="AD37" s="173"/>
      <c r="AE37" s="172"/>
      <c r="AF37" s="168"/>
      <c r="AG37" s="71"/>
    </row>
    <row r="38" spans="1:33" s="127" customFormat="1" ht="14.55" customHeight="1" x14ac:dyDescent="0.25">
      <c r="A38" s="45">
        <v>27</v>
      </c>
      <c r="B38" s="47">
        <v>41</v>
      </c>
      <c r="C38" s="121" t="str">
        <f t="shared" si="0"/>
        <v>CZE19971201</v>
      </c>
      <c r="D38" s="122" t="str">
        <f t="shared" si="1"/>
        <v xml:space="preserve">CHYTIL Daniel </v>
      </c>
      <c r="E38" s="123" t="str">
        <f t="shared" si="2"/>
        <v xml:space="preserve">SKC TUFO PROSTĚJOV </v>
      </c>
      <c r="F38" s="124">
        <f t="shared" si="3"/>
        <v>13150</v>
      </c>
      <c r="G38" s="125" t="str">
        <f t="shared" si="4"/>
        <v xml:space="preserve">JUNIOR </v>
      </c>
      <c r="H38" s="125" t="str">
        <f t="shared" si="5"/>
        <v>STP</v>
      </c>
      <c r="I38" s="164">
        <f t="shared" si="6"/>
        <v>7.8252314814814816E-2</v>
      </c>
      <c r="J38" s="70">
        <f t="shared" si="7"/>
        <v>1.157407407407357E-4</v>
      </c>
      <c r="K38" s="70"/>
      <c r="M38" s="127">
        <f t="shared" si="8"/>
        <v>27</v>
      </c>
      <c r="P38" s="165">
        <v>27</v>
      </c>
      <c r="Q38" s="166">
        <v>41</v>
      </c>
      <c r="R38" s="167">
        <v>7.8252314814814816E-2</v>
      </c>
      <c r="S38" s="168">
        <v>0</v>
      </c>
      <c r="T38" s="169"/>
      <c r="U38" s="170"/>
      <c r="V38" s="171"/>
      <c r="W38" s="172"/>
      <c r="X38" s="165"/>
      <c r="Y38" s="166"/>
      <c r="Z38" s="167"/>
      <c r="AA38" s="168"/>
      <c r="AB38" s="169"/>
      <c r="AC38" s="170"/>
      <c r="AD38" s="173"/>
      <c r="AE38" s="172"/>
      <c r="AF38" s="168"/>
      <c r="AG38" s="71"/>
    </row>
    <row r="39" spans="1:33" s="127" customFormat="1" ht="14.55" customHeight="1" x14ac:dyDescent="0.25">
      <c r="A39" s="45">
        <v>28</v>
      </c>
      <c r="B39" s="47">
        <v>8</v>
      </c>
      <c r="C39" s="121" t="str">
        <f t="shared" si="0"/>
        <v>GER19970701</v>
      </c>
      <c r="D39" s="122" t="str">
        <f t="shared" si="1"/>
        <v>ZETZSCHE Till</v>
      </c>
      <c r="E39" s="123" t="str">
        <f t="shared" si="2"/>
        <v>RSC COTTBUS</v>
      </c>
      <c r="F39" s="124" t="str">
        <f t="shared" si="3"/>
        <v>BRA043938</v>
      </c>
      <c r="G39" s="125" t="str">
        <f t="shared" si="4"/>
        <v xml:space="preserve">JUNIOR </v>
      </c>
      <c r="H39" s="125" t="str">
        <f t="shared" si="5"/>
        <v>COT</v>
      </c>
      <c r="I39" s="164">
        <f t="shared" si="6"/>
        <v>7.8252314814814816E-2</v>
      </c>
      <c r="J39" s="70">
        <f t="shared" si="7"/>
        <v>1.157407407407357E-4</v>
      </c>
      <c r="K39" s="70"/>
      <c r="M39" s="127">
        <f t="shared" si="8"/>
        <v>28</v>
      </c>
      <c r="P39" s="165">
        <v>28</v>
      </c>
      <c r="Q39" s="166">
        <v>8</v>
      </c>
      <c r="R39" s="167">
        <v>7.8252314814814816E-2</v>
      </c>
      <c r="S39" s="168">
        <v>0</v>
      </c>
      <c r="T39" s="169"/>
      <c r="U39" s="170"/>
      <c r="V39" s="171"/>
      <c r="W39" s="172"/>
      <c r="X39" s="165"/>
      <c r="Y39" s="166"/>
      <c r="Z39" s="167"/>
      <c r="AA39" s="168"/>
      <c r="AB39" s="169"/>
      <c r="AC39" s="170"/>
      <c r="AD39" s="173"/>
      <c r="AE39" s="172"/>
      <c r="AF39" s="168"/>
      <c r="AG39" s="71"/>
    </row>
    <row r="40" spans="1:33" s="127" customFormat="1" ht="14.55" customHeight="1" x14ac:dyDescent="0.25">
      <c r="A40" s="45">
        <v>29</v>
      </c>
      <c r="B40" s="47">
        <v>45</v>
      </c>
      <c r="C40" s="121" t="str">
        <f t="shared" si="0"/>
        <v>CZE19971015</v>
      </c>
      <c r="D40" s="122" t="str">
        <f t="shared" si="1"/>
        <v xml:space="preserve">STRUPEK Matyáš </v>
      </c>
      <c r="E40" s="123" t="str">
        <f t="shared" si="2"/>
        <v xml:space="preserve">SKC TUFO PROSTĚJOV </v>
      </c>
      <c r="F40" s="124">
        <f t="shared" si="3"/>
        <v>11747</v>
      </c>
      <c r="G40" s="125" t="str">
        <f t="shared" si="4"/>
        <v xml:space="preserve">JUNIOR </v>
      </c>
      <c r="H40" s="125" t="str">
        <f t="shared" si="5"/>
        <v>STP</v>
      </c>
      <c r="I40" s="164">
        <f t="shared" si="6"/>
        <v>7.8252314814814816E-2</v>
      </c>
      <c r="J40" s="70">
        <f t="shared" si="7"/>
        <v>1.157407407407357E-4</v>
      </c>
      <c r="K40" s="70"/>
      <c r="M40" s="127">
        <f t="shared" si="8"/>
        <v>29</v>
      </c>
      <c r="P40" s="165">
        <v>29</v>
      </c>
      <c r="Q40" s="166">
        <v>45</v>
      </c>
      <c r="R40" s="167">
        <v>7.8252314814814816E-2</v>
      </c>
      <c r="S40" s="168">
        <v>0</v>
      </c>
      <c r="T40" s="169"/>
      <c r="U40" s="170"/>
      <c r="V40" s="171"/>
      <c r="W40" s="172"/>
      <c r="X40" s="165"/>
      <c r="Y40" s="166"/>
      <c r="Z40" s="167"/>
      <c r="AA40" s="168"/>
      <c r="AB40" s="169"/>
      <c r="AC40" s="170"/>
      <c r="AD40" s="173"/>
      <c r="AE40" s="172"/>
      <c r="AF40" s="168"/>
      <c r="AG40" s="71"/>
    </row>
    <row r="41" spans="1:33" s="127" customFormat="1" ht="14.55" customHeight="1" x14ac:dyDescent="0.25">
      <c r="A41" s="45">
        <v>30</v>
      </c>
      <c r="B41" s="47">
        <v>39</v>
      </c>
      <c r="C41" s="121" t="str">
        <f t="shared" si="0"/>
        <v>*GER19980906</v>
      </c>
      <c r="D41" s="122" t="str">
        <f t="shared" si="1"/>
        <v>ZSCHOCKE Maximilian</v>
      </c>
      <c r="E41" s="123" t="str">
        <f t="shared" si="2"/>
        <v>JUNIOREN SCHWALBE TEAM SACHSEN</v>
      </c>
      <c r="F41" s="124" t="str">
        <f t="shared" si="3"/>
        <v>SAC135079</v>
      </c>
      <c r="G41" s="125" t="str">
        <f t="shared" si="4"/>
        <v>JUNIOR *</v>
      </c>
      <c r="H41" s="125" t="str">
        <f t="shared" si="5"/>
        <v>SAC</v>
      </c>
      <c r="I41" s="164">
        <f t="shared" si="6"/>
        <v>7.8252314814814816E-2</v>
      </c>
      <c r="J41" s="70">
        <f t="shared" si="7"/>
        <v>1.157407407407357E-4</v>
      </c>
      <c r="K41" s="70"/>
      <c r="M41" s="127">
        <f t="shared" si="8"/>
        <v>30</v>
      </c>
      <c r="P41" s="165">
        <v>30</v>
      </c>
      <c r="Q41" s="166">
        <v>39</v>
      </c>
      <c r="R41" s="167">
        <v>7.8252314814814816E-2</v>
      </c>
      <c r="S41" s="168">
        <v>0</v>
      </c>
      <c r="T41" s="169"/>
      <c r="U41" s="170"/>
      <c r="V41" s="171"/>
      <c r="W41" s="172"/>
      <c r="X41" s="165"/>
      <c r="Y41" s="166"/>
      <c r="Z41" s="167"/>
      <c r="AA41" s="168"/>
      <c r="AB41" s="169"/>
      <c r="AC41" s="170"/>
      <c r="AD41" s="173"/>
      <c r="AE41" s="172"/>
      <c r="AF41" s="168"/>
      <c r="AG41" s="71"/>
    </row>
    <row r="42" spans="1:33" s="127" customFormat="1" ht="14.55" customHeight="1" x14ac:dyDescent="0.25">
      <c r="A42" s="45">
        <v>31</v>
      </c>
      <c r="B42" s="47">
        <v>147</v>
      </c>
      <c r="C42" s="121" t="str">
        <f t="shared" si="0"/>
        <v>CZE19970127</v>
      </c>
      <c r="D42" s="122" t="str">
        <f t="shared" si="1"/>
        <v xml:space="preserve">KOTOUČEK Matěj </v>
      </c>
      <c r="E42" s="123" t="str">
        <f t="shared" si="2"/>
        <v xml:space="preserve">MIX6 - TJ FAVORIT BRNO </v>
      </c>
      <c r="F42" s="124">
        <f t="shared" si="3"/>
        <v>9917</v>
      </c>
      <c r="G42" s="125" t="str">
        <f t="shared" si="4"/>
        <v xml:space="preserve">JUNIOR </v>
      </c>
      <c r="H42" s="125" t="str">
        <f t="shared" si="5"/>
        <v>FAV</v>
      </c>
      <c r="I42" s="164">
        <f t="shared" si="6"/>
        <v>7.8252314814814816E-2</v>
      </c>
      <c r="J42" s="70">
        <f t="shared" si="7"/>
        <v>1.157407407407357E-4</v>
      </c>
      <c r="K42" s="70"/>
      <c r="M42" s="127">
        <f t="shared" si="8"/>
        <v>31</v>
      </c>
      <c r="P42" s="165">
        <v>31</v>
      </c>
      <c r="Q42" s="166">
        <v>147</v>
      </c>
      <c r="R42" s="167">
        <v>7.8252314814814816E-2</v>
      </c>
      <c r="S42" s="168">
        <v>0</v>
      </c>
      <c r="T42" s="169"/>
      <c r="U42" s="170"/>
      <c r="V42" s="171"/>
      <c r="W42" s="172"/>
      <c r="X42" s="165"/>
      <c r="Y42" s="166"/>
      <c r="Z42" s="167"/>
      <c r="AA42" s="168"/>
      <c r="AB42" s="169"/>
      <c r="AC42" s="170"/>
      <c r="AD42" s="173"/>
      <c r="AE42" s="172"/>
      <c r="AF42" s="168"/>
      <c r="AG42" s="71"/>
    </row>
    <row r="43" spans="1:33" s="127" customFormat="1" ht="14.55" customHeight="1" x14ac:dyDescent="0.25">
      <c r="A43" s="45">
        <v>32</v>
      </c>
      <c r="B43" s="47">
        <v>146</v>
      </c>
      <c r="C43" s="121" t="str">
        <f t="shared" si="0"/>
        <v>CZE19970414</v>
      </c>
      <c r="D43" s="122" t="str">
        <f t="shared" si="1"/>
        <v xml:space="preserve">DVOŘÁK Jakub </v>
      </c>
      <c r="E43" s="123" t="str">
        <f t="shared" si="2"/>
        <v xml:space="preserve">MIX6 - TJ FAVORIT BRNO </v>
      </c>
      <c r="F43" s="124">
        <f t="shared" si="3"/>
        <v>14284</v>
      </c>
      <c r="G43" s="125" t="str">
        <f t="shared" si="4"/>
        <v xml:space="preserve">JUNIOR </v>
      </c>
      <c r="H43" s="125" t="str">
        <f t="shared" si="5"/>
        <v>FAV</v>
      </c>
      <c r="I43" s="164">
        <f t="shared" si="6"/>
        <v>7.8252314814814816E-2</v>
      </c>
      <c r="J43" s="70">
        <f t="shared" si="7"/>
        <v>1.157407407407357E-4</v>
      </c>
      <c r="K43" s="70"/>
      <c r="M43" s="127">
        <f t="shared" si="8"/>
        <v>32</v>
      </c>
      <c r="P43" s="165">
        <v>32</v>
      </c>
      <c r="Q43" s="166">
        <v>146</v>
      </c>
      <c r="R43" s="167">
        <v>7.8252314814814816E-2</v>
      </c>
      <c r="S43" s="168">
        <v>0</v>
      </c>
      <c r="T43" s="169"/>
      <c r="U43" s="170"/>
      <c r="V43" s="171"/>
      <c r="W43" s="172"/>
      <c r="X43" s="165"/>
      <c r="Y43" s="166"/>
      <c r="Z43" s="167"/>
      <c r="AA43" s="168"/>
      <c r="AB43" s="169"/>
      <c r="AC43" s="170"/>
      <c r="AD43" s="173"/>
      <c r="AE43" s="172"/>
      <c r="AF43" s="168"/>
      <c r="AG43" s="71"/>
    </row>
    <row r="44" spans="1:33" s="127" customFormat="1" ht="14.55" customHeight="1" x14ac:dyDescent="0.25">
      <c r="A44" s="45">
        <v>33</v>
      </c>
      <c r="B44" s="47">
        <v>71</v>
      </c>
      <c r="C44" s="121" t="str">
        <f t="shared" ref="C44:C75" si="9">VLOOKUP(B44,STARTOVKA,2,0)</f>
        <v>CZE19990814*</v>
      </c>
      <c r="D44" s="122" t="str">
        <f t="shared" ref="D44:D75" si="10">VLOOKUP(B44,STARTOVKA,3,0)</f>
        <v xml:space="preserve">KLABOUCH Petr </v>
      </c>
      <c r="E44" s="123" t="str">
        <f t="shared" ref="E44:E75" si="11">VLOOKUP(B44,STARTOVKA,4,0)</f>
        <v>MIX2  - VELO - CLUB CIRKL Č.BUDĚJOVICE</v>
      </c>
      <c r="F44" s="124">
        <f t="shared" ref="F44:F75" si="12">VLOOKUP(B44,STARTOVKA,5,0)</f>
        <v>7815</v>
      </c>
      <c r="G44" s="125" t="str">
        <f t="shared" ref="G44:G75" si="13">VLOOKUP(B44,STARTOVKA,6,0)</f>
        <v>CADET</v>
      </c>
      <c r="H44" s="125" t="str">
        <f t="shared" ref="H44:H75" si="14">VLOOKUP(B44,STARTOVKA,7,0)</f>
        <v>KOV</v>
      </c>
      <c r="I44" s="164">
        <f t="shared" ref="I44:I75" si="15">SUM(R44,V44,Z44,AD44)-SUM(S44,W44,AA44,AE44)+AF44</f>
        <v>7.8252314814814816E-2</v>
      </c>
      <c r="J44" s="70">
        <f t="shared" ref="J44:J75" si="16">I44-$I$12</f>
        <v>1.157407407407357E-4</v>
      </c>
      <c r="K44" s="70"/>
      <c r="M44" s="127">
        <f t="shared" ref="M44:M75" si="17">A44</f>
        <v>33</v>
      </c>
      <c r="P44" s="165">
        <v>33</v>
      </c>
      <c r="Q44" s="166">
        <v>71</v>
      </c>
      <c r="R44" s="167">
        <v>7.8252314814814816E-2</v>
      </c>
      <c r="S44" s="168">
        <v>0</v>
      </c>
      <c r="T44" s="169"/>
      <c r="U44" s="170"/>
      <c r="V44" s="171"/>
      <c r="W44" s="172"/>
      <c r="X44" s="165"/>
      <c r="Y44" s="166"/>
      <c r="Z44" s="167"/>
      <c r="AA44" s="168"/>
      <c r="AB44" s="169"/>
      <c r="AC44" s="170"/>
      <c r="AD44" s="173"/>
      <c r="AE44" s="172"/>
      <c r="AF44" s="168"/>
      <c r="AG44" s="71"/>
    </row>
    <row r="45" spans="1:33" s="127" customFormat="1" ht="14.55" customHeight="1" x14ac:dyDescent="0.25">
      <c r="A45" s="45">
        <v>34</v>
      </c>
      <c r="B45" s="47">
        <v>37</v>
      </c>
      <c r="C45" s="121" t="str">
        <f t="shared" si="9"/>
        <v>*GER19981209</v>
      </c>
      <c r="D45" s="122" t="str">
        <f t="shared" si="10"/>
        <v>NOLDE Tobias</v>
      </c>
      <c r="E45" s="123" t="str">
        <f t="shared" si="11"/>
        <v>JUNIOREN SCHWALBE TEAM SACHSEN</v>
      </c>
      <c r="F45" s="124" t="str">
        <f t="shared" si="12"/>
        <v>SAC095804</v>
      </c>
      <c r="G45" s="125" t="str">
        <f t="shared" si="13"/>
        <v>JUNIOR *</v>
      </c>
      <c r="H45" s="125" t="str">
        <f t="shared" si="14"/>
        <v>SAC</v>
      </c>
      <c r="I45" s="164">
        <f t="shared" si="15"/>
        <v>7.8252314814814816E-2</v>
      </c>
      <c r="J45" s="70">
        <f t="shared" si="16"/>
        <v>1.157407407407357E-4</v>
      </c>
      <c r="K45" s="70"/>
      <c r="M45" s="127">
        <f t="shared" si="17"/>
        <v>34</v>
      </c>
      <c r="P45" s="165">
        <v>34</v>
      </c>
      <c r="Q45" s="166">
        <v>37</v>
      </c>
      <c r="R45" s="167">
        <v>7.8252314814814816E-2</v>
      </c>
      <c r="S45" s="168">
        <v>0</v>
      </c>
      <c r="T45" s="169"/>
      <c r="U45" s="170"/>
      <c r="V45" s="171"/>
      <c r="W45" s="172"/>
      <c r="X45" s="165"/>
      <c r="Y45" s="166"/>
      <c r="Z45" s="167"/>
      <c r="AA45" s="168"/>
      <c r="AB45" s="169"/>
      <c r="AC45" s="170"/>
      <c r="AD45" s="173"/>
      <c r="AE45" s="172"/>
      <c r="AF45" s="168"/>
      <c r="AG45" s="71"/>
    </row>
    <row r="46" spans="1:33" s="127" customFormat="1" ht="14.55" customHeight="1" x14ac:dyDescent="0.25">
      <c r="A46" s="45">
        <v>35</v>
      </c>
      <c r="B46" s="47">
        <v>106</v>
      </c>
      <c r="C46" s="121" t="str">
        <f t="shared" si="9"/>
        <v>*SVK19980719</v>
      </c>
      <c r="D46" s="122" t="str">
        <f t="shared" si="10"/>
        <v>GAJDOŠÍK Ján</v>
      </c>
      <c r="E46" s="123" t="str">
        <f t="shared" si="11"/>
        <v>SLOVAK CYCLING FEDERATION</v>
      </c>
      <c r="F46" s="124" t="str">
        <f t="shared" si="12"/>
        <v>S 5766</v>
      </c>
      <c r="G46" s="125" t="str">
        <f t="shared" si="13"/>
        <v>JUNIOR *</v>
      </c>
      <c r="H46" s="125" t="str">
        <f t="shared" si="14"/>
        <v>SVK</v>
      </c>
      <c r="I46" s="164">
        <f t="shared" si="15"/>
        <v>7.8252314814814816E-2</v>
      </c>
      <c r="J46" s="70">
        <f t="shared" si="16"/>
        <v>1.157407407407357E-4</v>
      </c>
      <c r="K46" s="70"/>
      <c r="M46" s="127">
        <f t="shared" si="17"/>
        <v>35</v>
      </c>
      <c r="P46" s="165">
        <v>35</v>
      </c>
      <c r="Q46" s="166">
        <v>106</v>
      </c>
      <c r="R46" s="167">
        <v>7.8252314814814816E-2</v>
      </c>
      <c r="S46" s="168">
        <v>0</v>
      </c>
      <c r="T46" s="169"/>
      <c r="U46" s="170"/>
      <c r="V46" s="171"/>
      <c r="W46" s="172"/>
      <c r="X46" s="165"/>
      <c r="Y46" s="166"/>
      <c r="Z46" s="167"/>
      <c r="AA46" s="168"/>
      <c r="AB46" s="169"/>
      <c r="AC46" s="170"/>
      <c r="AD46" s="173"/>
      <c r="AE46" s="172"/>
      <c r="AF46" s="168"/>
      <c r="AG46" s="71"/>
    </row>
    <row r="47" spans="1:33" s="127" customFormat="1" ht="14.55" customHeight="1" x14ac:dyDescent="0.25">
      <c r="A47" s="45">
        <v>36</v>
      </c>
      <c r="B47" s="47">
        <v>57</v>
      </c>
      <c r="C47" s="121" t="str">
        <f t="shared" si="9"/>
        <v>POL19970825</v>
      </c>
      <c r="D47" s="122" t="str">
        <f t="shared" si="10"/>
        <v xml:space="preserve">GRZEGORZYCA Dominik </v>
      </c>
      <c r="E47" s="123" t="str">
        <f t="shared" si="11"/>
        <v xml:space="preserve">MIX1 - GRUPA KOLARSKA GLIWICE </v>
      </c>
      <c r="F47" s="124" t="str">
        <f t="shared" si="12"/>
        <v>SLA288</v>
      </c>
      <c r="G47" s="125" t="str">
        <f t="shared" si="13"/>
        <v xml:space="preserve">JUNIOR </v>
      </c>
      <c r="H47" s="125" t="str">
        <f t="shared" si="14"/>
        <v>SLZ</v>
      </c>
      <c r="I47" s="164">
        <f t="shared" si="15"/>
        <v>7.8252314814814816E-2</v>
      </c>
      <c r="J47" s="70">
        <f t="shared" si="16"/>
        <v>1.157407407407357E-4</v>
      </c>
      <c r="K47" s="70"/>
      <c r="M47" s="127">
        <f t="shared" si="17"/>
        <v>36</v>
      </c>
      <c r="P47" s="165">
        <v>36</v>
      </c>
      <c r="Q47" s="166">
        <v>57</v>
      </c>
      <c r="R47" s="167">
        <v>7.8252314814814816E-2</v>
      </c>
      <c r="S47" s="168">
        <v>0</v>
      </c>
      <c r="T47" s="169"/>
      <c r="U47" s="170"/>
      <c r="V47" s="171"/>
      <c r="W47" s="172"/>
      <c r="X47" s="165"/>
      <c r="Y47" s="166"/>
      <c r="Z47" s="167"/>
      <c r="AA47" s="168"/>
      <c r="AB47" s="169"/>
      <c r="AC47" s="170"/>
      <c r="AD47" s="173"/>
      <c r="AE47" s="172"/>
      <c r="AF47" s="168"/>
      <c r="AG47" s="71"/>
    </row>
    <row r="48" spans="1:33" s="127" customFormat="1" ht="14.55" customHeight="1" x14ac:dyDescent="0.25">
      <c r="A48" s="45">
        <v>37</v>
      </c>
      <c r="B48" s="47">
        <v>117</v>
      </c>
      <c r="C48" s="121" t="str">
        <f t="shared" si="9"/>
        <v>CZE19970109</v>
      </c>
      <c r="D48" s="122" t="str">
        <f t="shared" si="10"/>
        <v xml:space="preserve">SVATEK Miroslav </v>
      </c>
      <c r="E48" s="123" t="str">
        <f t="shared" si="11"/>
        <v xml:space="preserve">MIX3 - AC SPARTA PRAHA </v>
      </c>
      <c r="F48" s="124">
        <f t="shared" si="12"/>
        <v>9623</v>
      </c>
      <c r="G48" s="125" t="str">
        <f t="shared" si="13"/>
        <v xml:space="preserve">JUNIOR </v>
      </c>
      <c r="H48" s="125" t="str">
        <f t="shared" si="14"/>
        <v>CPP</v>
      </c>
      <c r="I48" s="164">
        <f t="shared" si="15"/>
        <v>7.8252314814814816E-2</v>
      </c>
      <c r="J48" s="70">
        <f t="shared" si="16"/>
        <v>1.157407407407357E-4</v>
      </c>
      <c r="K48" s="70"/>
      <c r="M48" s="127">
        <f t="shared" si="17"/>
        <v>37</v>
      </c>
      <c r="P48" s="165">
        <v>37</v>
      </c>
      <c r="Q48" s="166">
        <v>117</v>
      </c>
      <c r="R48" s="167">
        <v>7.8252314814814816E-2</v>
      </c>
      <c r="S48" s="168">
        <v>0</v>
      </c>
      <c r="T48" s="169"/>
      <c r="U48" s="170"/>
      <c r="V48" s="171"/>
      <c r="W48" s="172"/>
      <c r="X48" s="165"/>
      <c r="Y48" s="166"/>
      <c r="Z48" s="167"/>
      <c r="AA48" s="168"/>
      <c r="AB48" s="169"/>
      <c r="AC48" s="170"/>
      <c r="AD48" s="173"/>
      <c r="AE48" s="172"/>
      <c r="AF48" s="168"/>
      <c r="AG48" s="71"/>
    </row>
    <row r="49" spans="1:33" s="127" customFormat="1" ht="14.55" customHeight="1" x14ac:dyDescent="0.25">
      <c r="A49" s="45">
        <v>38</v>
      </c>
      <c r="B49" s="47">
        <v>94</v>
      </c>
      <c r="C49" s="121" t="str">
        <f t="shared" si="9"/>
        <v>GER19971001</v>
      </c>
      <c r="D49" s="122" t="str">
        <f t="shared" si="10"/>
        <v>HOLTZ Christopher</v>
      </c>
      <c r="E49" s="123" t="str">
        <f t="shared" si="11"/>
        <v>RG BERLIN</v>
      </c>
      <c r="F49" s="124" t="str">
        <f t="shared" si="12"/>
        <v>HAM051122</v>
      </c>
      <c r="G49" s="125" t="str">
        <f t="shared" si="13"/>
        <v xml:space="preserve">JUNIOR </v>
      </c>
      <c r="H49" s="125" t="str">
        <f t="shared" si="14"/>
        <v>RGB</v>
      </c>
      <c r="I49" s="164">
        <f t="shared" si="15"/>
        <v>7.8252314814814816E-2</v>
      </c>
      <c r="J49" s="70">
        <f t="shared" si="16"/>
        <v>1.157407407407357E-4</v>
      </c>
      <c r="K49" s="70"/>
      <c r="M49" s="127">
        <f t="shared" si="17"/>
        <v>38</v>
      </c>
      <c r="P49" s="165">
        <v>38</v>
      </c>
      <c r="Q49" s="166">
        <v>94</v>
      </c>
      <c r="R49" s="167">
        <v>7.8252314814814816E-2</v>
      </c>
      <c r="S49" s="168">
        <v>0</v>
      </c>
      <c r="T49" s="169"/>
      <c r="U49" s="170"/>
      <c r="V49" s="171"/>
      <c r="W49" s="172"/>
      <c r="X49" s="165"/>
      <c r="Y49" s="166"/>
      <c r="Z49" s="167"/>
      <c r="AA49" s="168"/>
      <c r="AB49" s="169"/>
      <c r="AC49" s="170"/>
      <c r="AD49" s="173"/>
      <c r="AE49" s="172"/>
      <c r="AF49" s="168"/>
      <c r="AG49" s="71"/>
    </row>
    <row r="50" spans="1:33" s="127" customFormat="1" ht="14.55" customHeight="1" x14ac:dyDescent="0.25">
      <c r="A50" s="45">
        <v>39</v>
      </c>
      <c r="B50" s="47">
        <v>103</v>
      </c>
      <c r="C50" s="121" t="str">
        <f t="shared" si="9"/>
        <v>SVK19970730</v>
      </c>
      <c r="D50" s="122" t="str">
        <f t="shared" si="10"/>
        <v>MEŇUŠ Tomáš</v>
      </c>
      <c r="E50" s="123" t="str">
        <f t="shared" si="11"/>
        <v>SLOVAK CYCLING FEDERATION</v>
      </c>
      <c r="F50" s="124" t="str">
        <f t="shared" si="12"/>
        <v>S 6668</v>
      </c>
      <c r="G50" s="125" t="str">
        <f t="shared" si="13"/>
        <v xml:space="preserve">JUNIOR </v>
      </c>
      <c r="H50" s="125" t="str">
        <f t="shared" si="14"/>
        <v>SVK</v>
      </c>
      <c r="I50" s="164">
        <f t="shared" si="15"/>
        <v>7.8252314814814816E-2</v>
      </c>
      <c r="J50" s="70">
        <f t="shared" si="16"/>
        <v>1.157407407407357E-4</v>
      </c>
      <c r="K50" s="70"/>
      <c r="M50" s="127">
        <f t="shared" si="17"/>
        <v>39</v>
      </c>
      <c r="P50" s="165">
        <v>39</v>
      </c>
      <c r="Q50" s="166">
        <v>103</v>
      </c>
      <c r="R50" s="167">
        <v>7.8252314814814816E-2</v>
      </c>
      <c r="S50" s="168">
        <v>0</v>
      </c>
      <c r="T50" s="169"/>
      <c r="U50" s="170"/>
      <c r="V50" s="171"/>
      <c r="W50" s="172"/>
      <c r="X50" s="165"/>
      <c r="Y50" s="166"/>
      <c r="Z50" s="167"/>
      <c r="AA50" s="168"/>
      <c r="AB50" s="169"/>
      <c r="AC50" s="170"/>
      <c r="AD50" s="173"/>
      <c r="AE50" s="172"/>
      <c r="AF50" s="168"/>
      <c r="AG50" s="71"/>
    </row>
    <row r="51" spans="1:33" s="127" customFormat="1" ht="14.55" customHeight="1" x14ac:dyDescent="0.25">
      <c r="A51" s="45">
        <v>40</v>
      </c>
      <c r="B51" s="47">
        <v>92</v>
      </c>
      <c r="C51" s="121" t="str">
        <f t="shared" si="9"/>
        <v>GER20000619*</v>
      </c>
      <c r="D51" s="122" t="str">
        <f t="shared" si="10"/>
        <v>DREIER Fabian</v>
      </c>
      <c r="E51" s="123" t="str">
        <f t="shared" si="11"/>
        <v>RG BERLIN</v>
      </c>
      <c r="F51" s="124" t="str">
        <f t="shared" si="12"/>
        <v>BER035135</v>
      </c>
      <c r="G51" s="125" t="str">
        <f t="shared" si="13"/>
        <v>CADET</v>
      </c>
      <c r="H51" s="125" t="str">
        <f t="shared" si="14"/>
        <v>RGB</v>
      </c>
      <c r="I51" s="164">
        <f t="shared" si="15"/>
        <v>7.8252314814814816E-2</v>
      </c>
      <c r="J51" s="70">
        <f t="shared" si="16"/>
        <v>1.157407407407357E-4</v>
      </c>
      <c r="K51" s="70"/>
      <c r="M51" s="127">
        <f t="shared" si="17"/>
        <v>40</v>
      </c>
      <c r="P51" s="165">
        <v>40</v>
      </c>
      <c r="Q51" s="166">
        <v>92</v>
      </c>
      <c r="R51" s="167">
        <v>7.8252314814814816E-2</v>
      </c>
      <c r="S51" s="168">
        <v>0</v>
      </c>
      <c r="T51" s="169"/>
      <c r="U51" s="170"/>
      <c r="V51" s="171"/>
      <c r="W51" s="172"/>
      <c r="X51" s="165"/>
      <c r="Y51" s="166"/>
      <c r="Z51" s="167"/>
      <c r="AA51" s="168"/>
      <c r="AB51" s="169"/>
      <c r="AC51" s="170"/>
      <c r="AD51" s="173"/>
      <c r="AE51" s="172"/>
      <c r="AF51" s="168"/>
      <c r="AG51" s="71"/>
    </row>
    <row r="52" spans="1:33" s="127" customFormat="1" ht="14.55" customHeight="1" x14ac:dyDescent="0.25">
      <c r="A52" s="45">
        <v>41</v>
      </c>
      <c r="B52" s="47">
        <v>161</v>
      </c>
      <c r="C52" s="121" t="str">
        <f t="shared" si="9"/>
        <v>*AUT19980216</v>
      </c>
      <c r="D52" s="122" t="str">
        <f t="shared" si="10"/>
        <v>FRIEDRICH Marco</v>
      </c>
      <c r="E52" s="123" t="str">
        <f t="shared" si="11"/>
        <v>LRV STEIERMARK</v>
      </c>
      <c r="F52" s="124">
        <f t="shared" si="12"/>
        <v>100698</v>
      </c>
      <c r="G52" s="125" t="str">
        <f t="shared" si="13"/>
        <v>JUNIOR *</v>
      </c>
      <c r="H52" s="125" t="str">
        <f t="shared" si="14"/>
        <v>LRS</v>
      </c>
      <c r="I52" s="164">
        <f t="shared" si="15"/>
        <v>7.8252314814814816E-2</v>
      </c>
      <c r="J52" s="70">
        <f t="shared" si="16"/>
        <v>1.157407407407357E-4</v>
      </c>
      <c r="K52" s="70"/>
      <c r="M52" s="127">
        <f t="shared" si="17"/>
        <v>41</v>
      </c>
      <c r="P52" s="165">
        <v>41</v>
      </c>
      <c r="Q52" s="166">
        <v>161</v>
      </c>
      <c r="R52" s="167">
        <v>7.8252314814814816E-2</v>
      </c>
      <c r="S52" s="168">
        <v>0</v>
      </c>
      <c r="T52" s="169"/>
      <c r="U52" s="170"/>
      <c r="V52" s="171"/>
      <c r="W52" s="172"/>
      <c r="X52" s="165"/>
      <c r="Y52" s="166"/>
      <c r="Z52" s="167"/>
      <c r="AA52" s="168"/>
      <c r="AB52" s="169"/>
      <c r="AC52" s="170"/>
      <c r="AD52" s="173"/>
      <c r="AE52" s="172"/>
      <c r="AF52" s="168"/>
      <c r="AG52" s="71"/>
    </row>
    <row r="53" spans="1:33" s="127" customFormat="1" ht="14.55" customHeight="1" x14ac:dyDescent="0.25">
      <c r="A53" s="45">
        <v>42</v>
      </c>
      <c r="B53" s="47">
        <v>150</v>
      </c>
      <c r="C53" s="121" t="str">
        <f t="shared" si="9"/>
        <v>*CZE19980624</v>
      </c>
      <c r="D53" s="122" t="str">
        <f t="shared" si="10"/>
        <v>PRUDEK Dominik</v>
      </c>
      <c r="E53" s="123" t="str">
        <f t="shared" si="11"/>
        <v xml:space="preserve">MIX6 - TJ FAVORIT BRNO </v>
      </c>
      <c r="F53" s="124">
        <f t="shared" si="12"/>
        <v>9600</v>
      </c>
      <c r="G53" s="125" t="str">
        <f t="shared" si="13"/>
        <v>JUNIOR *</v>
      </c>
      <c r="H53" s="125" t="str">
        <f t="shared" si="14"/>
        <v>FAV</v>
      </c>
      <c r="I53" s="164">
        <f t="shared" si="15"/>
        <v>7.8252314814814816E-2</v>
      </c>
      <c r="J53" s="70">
        <f t="shared" si="16"/>
        <v>1.157407407407357E-4</v>
      </c>
      <c r="K53" s="70"/>
      <c r="M53" s="127">
        <f t="shared" si="17"/>
        <v>42</v>
      </c>
      <c r="P53" s="165">
        <v>42</v>
      </c>
      <c r="Q53" s="166">
        <v>150</v>
      </c>
      <c r="R53" s="167">
        <v>7.8252314814814816E-2</v>
      </c>
      <c r="S53" s="168">
        <v>0</v>
      </c>
      <c r="T53" s="169"/>
      <c r="U53" s="170"/>
      <c r="V53" s="171"/>
      <c r="W53" s="172"/>
      <c r="X53" s="165"/>
      <c r="Y53" s="166"/>
      <c r="Z53" s="167"/>
      <c r="AA53" s="168"/>
      <c r="AB53" s="169"/>
      <c r="AC53" s="170"/>
      <c r="AD53" s="173"/>
      <c r="AE53" s="172"/>
      <c r="AF53" s="168"/>
      <c r="AG53" s="71"/>
    </row>
    <row r="54" spans="1:33" s="127" customFormat="1" ht="14.55" customHeight="1" x14ac:dyDescent="0.25">
      <c r="A54" s="45">
        <v>43</v>
      </c>
      <c r="B54" s="47">
        <v>21</v>
      </c>
      <c r="C54" s="121" t="str">
        <f t="shared" si="9"/>
        <v>CZE19971022</v>
      </c>
      <c r="D54" s="122" t="str">
        <f t="shared" si="10"/>
        <v xml:space="preserve">KLEVETA Jakub </v>
      </c>
      <c r="E54" s="123" t="str">
        <f t="shared" si="11"/>
        <v xml:space="preserve">MAPEI MERIDA KAŇKOVSKÝ </v>
      </c>
      <c r="F54" s="124">
        <f t="shared" si="12"/>
        <v>10284</v>
      </c>
      <c r="G54" s="125" t="str">
        <f t="shared" si="13"/>
        <v xml:space="preserve">JUNIOR </v>
      </c>
      <c r="H54" s="125" t="str">
        <f t="shared" si="14"/>
        <v>MAP</v>
      </c>
      <c r="I54" s="164">
        <f t="shared" si="15"/>
        <v>7.8252314814814816E-2</v>
      </c>
      <c r="J54" s="70">
        <f t="shared" si="16"/>
        <v>1.157407407407357E-4</v>
      </c>
      <c r="K54" s="70"/>
      <c r="M54" s="127">
        <f t="shared" si="17"/>
        <v>43</v>
      </c>
      <c r="P54" s="165">
        <v>43</v>
      </c>
      <c r="Q54" s="166">
        <v>21</v>
      </c>
      <c r="R54" s="167">
        <v>7.8252314814814816E-2</v>
      </c>
      <c r="S54" s="168">
        <v>0</v>
      </c>
      <c r="T54" s="169"/>
      <c r="U54" s="170"/>
      <c r="V54" s="171"/>
      <c r="W54" s="172"/>
      <c r="X54" s="165"/>
      <c r="Y54" s="166"/>
      <c r="Z54" s="167"/>
      <c r="AA54" s="168"/>
      <c r="AB54" s="169"/>
      <c r="AC54" s="170"/>
      <c r="AD54" s="173"/>
      <c r="AE54" s="172"/>
      <c r="AF54" s="168"/>
      <c r="AG54" s="71"/>
    </row>
    <row r="55" spans="1:33" s="127" customFormat="1" ht="14.55" customHeight="1" x14ac:dyDescent="0.25">
      <c r="A55" s="45">
        <v>44</v>
      </c>
      <c r="B55" s="47">
        <v>111</v>
      </c>
      <c r="C55" s="121" t="str">
        <f t="shared" si="9"/>
        <v>*CZE19981028</v>
      </c>
      <c r="D55" s="122" t="str">
        <f t="shared" si="10"/>
        <v xml:space="preserve">BAKUS Tomáš </v>
      </c>
      <c r="E55" s="123" t="str">
        <f t="shared" si="11"/>
        <v xml:space="preserve">MIX3 - ČEZ CYKLO TEAM TÁBOR </v>
      </c>
      <c r="F55" s="124">
        <f t="shared" si="12"/>
        <v>20355</v>
      </c>
      <c r="G55" s="125" t="str">
        <f t="shared" si="13"/>
        <v>JUNIOR *</v>
      </c>
      <c r="H55" s="125" t="str">
        <f t="shared" si="14"/>
        <v>CPP</v>
      </c>
      <c r="I55" s="164">
        <f t="shared" si="15"/>
        <v>7.8252314814814816E-2</v>
      </c>
      <c r="J55" s="70">
        <f t="shared" si="16"/>
        <v>1.157407407407357E-4</v>
      </c>
      <c r="K55" s="70"/>
      <c r="M55" s="127">
        <f t="shared" si="17"/>
        <v>44</v>
      </c>
      <c r="P55" s="165">
        <v>44</v>
      </c>
      <c r="Q55" s="166">
        <v>111</v>
      </c>
      <c r="R55" s="167">
        <v>7.8252314814814816E-2</v>
      </c>
      <c r="S55" s="168">
        <v>0</v>
      </c>
      <c r="T55" s="169"/>
      <c r="U55" s="170"/>
      <c r="V55" s="171"/>
      <c r="W55" s="172"/>
      <c r="X55" s="165"/>
      <c r="Y55" s="166"/>
      <c r="Z55" s="167"/>
      <c r="AA55" s="168"/>
      <c r="AB55" s="169"/>
      <c r="AC55" s="170"/>
      <c r="AD55" s="173"/>
      <c r="AE55" s="172"/>
      <c r="AF55" s="168"/>
      <c r="AG55" s="71"/>
    </row>
    <row r="56" spans="1:33" s="127" customFormat="1" ht="14.55" customHeight="1" x14ac:dyDescent="0.25">
      <c r="A56" s="45">
        <v>45</v>
      </c>
      <c r="B56" s="47">
        <v>78</v>
      </c>
      <c r="C56" s="121" t="str">
        <f t="shared" si="9"/>
        <v>*CZE19980106</v>
      </c>
      <c r="D56" s="122" t="str">
        <f t="shared" si="10"/>
        <v xml:space="preserve">BÁRTEK David </v>
      </c>
      <c r="E56" s="123" t="str">
        <f t="shared" si="11"/>
        <v xml:space="preserve">MIX2  - VRV TEAM </v>
      </c>
      <c r="F56" s="124">
        <f t="shared" si="12"/>
        <v>5332</v>
      </c>
      <c r="G56" s="125" t="str">
        <f t="shared" si="13"/>
        <v>JUNIOR *</v>
      </c>
      <c r="H56" s="125" t="str">
        <f t="shared" si="14"/>
        <v>KOV</v>
      </c>
      <c r="I56" s="164">
        <f t="shared" si="15"/>
        <v>7.8252314814814816E-2</v>
      </c>
      <c r="J56" s="70">
        <f t="shared" si="16"/>
        <v>1.157407407407357E-4</v>
      </c>
      <c r="K56" s="70"/>
      <c r="M56" s="127">
        <f t="shared" si="17"/>
        <v>45</v>
      </c>
      <c r="P56" s="165">
        <v>45</v>
      </c>
      <c r="Q56" s="166">
        <v>78</v>
      </c>
      <c r="R56" s="167">
        <v>7.8252314814814816E-2</v>
      </c>
      <c r="S56" s="168">
        <v>0</v>
      </c>
      <c r="T56" s="169"/>
      <c r="U56" s="170"/>
      <c r="V56" s="171"/>
      <c r="W56" s="172"/>
      <c r="X56" s="165"/>
      <c r="Y56" s="166"/>
      <c r="Z56" s="167"/>
      <c r="AA56" s="168"/>
      <c r="AB56" s="169"/>
      <c r="AC56" s="170"/>
      <c r="AD56" s="173"/>
      <c r="AE56" s="172"/>
      <c r="AF56" s="168"/>
      <c r="AG56" s="71"/>
    </row>
    <row r="57" spans="1:33" s="127" customFormat="1" ht="14.55" customHeight="1" x14ac:dyDescent="0.25">
      <c r="A57" s="45">
        <v>46</v>
      </c>
      <c r="B57" s="47">
        <v>79</v>
      </c>
      <c r="C57" s="121" t="str">
        <f t="shared" si="9"/>
        <v>*CZE19980414</v>
      </c>
      <c r="D57" s="122" t="str">
        <f t="shared" si="10"/>
        <v xml:space="preserve">MACEK Michal </v>
      </c>
      <c r="E57" s="123" t="str">
        <f t="shared" si="11"/>
        <v xml:space="preserve">MIX2  - VRV TEAM </v>
      </c>
      <c r="F57" s="124">
        <f t="shared" si="12"/>
        <v>19708</v>
      </c>
      <c r="G57" s="125" t="str">
        <f t="shared" si="13"/>
        <v>JUNIOR *</v>
      </c>
      <c r="H57" s="125" t="str">
        <f t="shared" si="14"/>
        <v>KOV</v>
      </c>
      <c r="I57" s="164">
        <f t="shared" si="15"/>
        <v>7.8252314814814816E-2</v>
      </c>
      <c r="J57" s="70">
        <f t="shared" si="16"/>
        <v>1.157407407407357E-4</v>
      </c>
      <c r="K57" s="70"/>
      <c r="M57" s="127">
        <f t="shared" si="17"/>
        <v>46</v>
      </c>
      <c r="P57" s="165">
        <v>46</v>
      </c>
      <c r="Q57" s="166">
        <v>79</v>
      </c>
      <c r="R57" s="167">
        <v>7.8252314814814816E-2</v>
      </c>
      <c r="S57" s="168">
        <v>0</v>
      </c>
      <c r="T57" s="169"/>
      <c r="U57" s="170"/>
      <c r="V57" s="171"/>
      <c r="W57" s="172"/>
      <c r="X57" s="165"/>
      <c r="Y57" s="166"/>
      <c r="Z57" s="167"/>
      <c r="AA57" s="168"/>
      <c r="AB57" s="169"/>
      <c r="AC57" s="170"/>
      <c r="AD57" s="173"/>
      <c r="AE57" s="172"/>
      <c r="AF57" s="168"/>
      <c r="AG57" s="71"/>
    </row>
    <row r="58" spans="1:33" s="127" customFormat="1" ht="14.55" customHeight="1" x14ac:dyDescent="0.25">
      <c r="A58" s="45">
        <v>47</v>
      </c>
      <c r="B58" s="47">
        <v>15</v>
      </c>
      <c r="C58" s="121" t="str">
        <f t="shared" si="9"/>
        <v>*GER19980410</v>
      </c>
      <c r="D58" s="122" t="str">
        <f t="shared" si="10"/>
        <v>DÖPEL Robin</v>
      </c>
      <c r="E58" s="123" t="str">
        <f t="shared" si="11"/>
        <v>THÜRINGER RADSPORT VERBAND</v>
      </c>
      <c r="F58" s="124" t="str">
        <f t="shared" si="12"/>
        <v>THÜ173350</v>
      </c>
      <c r="G58" s="125" t="str">
        <f t="shared" si="13"/>
        <v>JUNIOR *</v>
      </c>
      <c r="H58" s="125" t="str">
        <f t="shared" si="14"/>
        <v>THU</v>
      </c>
      <c r="I58" s="164">
        <f t="shared" si="15"/>
        <v>7.8252314814814816E-2</v>
      </c>
      <c r="J58" s="70">
        <f t="shared" si="16"/>
        <v>1.157407407407357E-4</v>
      </c>
      <c r="K58" s="70"/>
      <c r="M58" s="127">
        <f t="shared" si="17"/>
        <v>47</v>
      </c>
      <c r="P58" s="165">
        <v>47</v>
      </c>
      <c r="Q58" s="166">
        <v>15</v>
      </c>
      <c r="R58" s="167">
        <v>7.8252314814814816E-2</v>
      </c>
      <c r="S58" s="168">
        <v>0</v>
      </c>
      <c r="T58" s="169"/>
      <c r="U58" s="170"/>
      <c r="V58" s="171"/>
      <c r="W58" s="172"/>
      <c r="X58" s="165"/>
      <c r="Y58" s="166"/>
      <c r="Z58" s="167"/>
      <c r="AA58" s="168"/>
      <c r="AB58" s="169"/>
      <c r="AC58" s="170"/>
      <c r="AD58" s="173"/>
      <c r="AE58" s="172"/>
      <c r="AF58" s="168"/>
      <c r="AG58" s="71"/>
    </row>
    <row r="59" spans="1:33" s="127" customFormat="1" ht="14.55" customHeight="1" x14ac:dyDescent="0.25">
      <c r="A59" s="45">
        <v>48</v>
      </c>
      <c r="B59" s="47">
        <v>4</v>
      </c>
      <c r="C59" s="121" t="str">
        <f t="shared" si="9"/>
        <v>*GER19981204</v>
      </c>
      <c r="D59" s="122" t="str">
        <f t="shared" si="10"/>
        <v>MÜLLER Tom</v>
      </c>
      <c r="E59" s="123" t="str">
        <f t="shared" si="11"/>
        <v>RSC COTTBUS</v>
      </c>
      <c r="F59" s="124" t="str">
        <f t="shared" si="12"/>
        <v>BRA044003</v>
      </c>
      <c r="G59" s="125" t="str">
        <f t="shared" si="13"/>
        <v>JUNIOR *</v>
      </c>
      <c r="H59" s="125" t="str">
        <f t="shared" si="14"/>
        <v>COT</v>
      </c>
      <c r="I59" s="164">
        <f t="shared" si="15"/>
        <v>7.8252314814814816E-2</v>
      </c>
      <c r="J59" s="70">
        <f t="shared" si="16"/>
        <v>1.157407407407357E-4</v>
      </c>
      <c r="K59" s="70"/>
      <c r="M59" s="127">
        <f t="shared" si="17"/>
        <v>48</v>
      </c>
      <c r="P59" s="165">
        <v>48</v>
      </c>
      <c r="Q59" s="166">
        <v>4</v>
      </c>
      <c r="R59" s="167">
        <v>7.8252314814814816E-2</v>
      </c>
      <c r="S59" s="168">
        <v>0</v>
      </c>
      <c r="T59" s="169"/>
      <c r="U59" s="170"/>
      <c r="V59" s="171"/>
      <c r="W59" s="172"/>
      <c r="X59" s="165"/>
      <c r="Y59" s="166"/>
      <c r="Z59" s="167"/>
      <c r="AA59" s="168"/>
      <c r="AB59" s="169"/>
      <c r="AC59" s="170"/>
      <c r="AD59" s="173"/>
      <c r="AE59" s="172"/>
      <c r="AF59" s="168"/>
      <c r="AG59" s="71"/>
    </row>
    <row r="60" spans="1:33" s="127" customFormat="1" ht="14.55" customHeight="1" x14ac:dyDescent="0.25">
      <c r="A60" s="45">
        <v>49</v>
      </c>
      <c r="B60" s="47">
        <v>13</v>
      </c>
      <c r="C60" s="121" t="str">
        <f t="shared" si="9"/>
        <v>GER19970811</v>
      </c>
      <c r="D60" s="122" t="str">
        <f t="shared" si="10"/>
        <v>LINTZEL Philip</v>
      </c>
      <c r="E60" s="123" t="str">
        <f t="shared" si="11"/>
        <v>THÜRINGER RADSPORT VERBAND</v>
      </c>
      <c r="F60" s="124" t="str">
        <f t="shared" si="12"/>
        <v>THÜ173079</v>
      </c>
      <c r="G60" s="125" t="str">
        <f t="shared" si="13"/>
        <v xml:space="preserve">JUNIOR </v>
      </c>
      <c r="H60" s="125" t="str">
        <f t="shared" si="14"/>
        <v>THU</v>
      </c>
      <c r="I60" s="164">
        <f t="shared" si="15"/>
        <v>7.8252314814814816E-2</v>
      </c>
      <c r="J60" s="70">
        <f t="shared" si="16"/>
        <v>1.157407407407357E-4</v>
      </c>
      <c r="K60" s="70"/>
      <c r="M60" s="127">
        <f t="shared" si="17"/>
        <v>49</v>
      </c>
      <c r="P60" s="165">
        <v>49</v>
      </c>
      <c r="Q60" s="166">
        <v>13</v>
      </c>
      <c r="R60" s="167">
        <v>7.8252314814814816E-2</v>
      </c>
      <c r="S60" s="168">
        <v>0</v>
      </c>
      <c r="T60" s="169"/>
      <c r="U60" s="170"/>
      <c r="V60" s="171"/>
      <c r="W60" s="172"/>
      <c r="X60" s="165"/>
      <c r="Y60" s="166"/>
      <c r="Z60" s="167"/>
      <c r="AA60" s="168"/>
      <c r="AB60" s="169"/>
      <c r="AC60" s="170"/>
      <c r="AD60" s="173"/>
      <c r="AE60" s="172"/>
      <c r="AF60" s="168"/>
      <c r="AG60" s="71"/>
    </row>
    <row r="61" spans="1:33" s="127" customFormat="1" ht="14.55" customHeight="1" x14ac:dyDescent="0.25">
      <c r="A61" s="45">
        <v>50</v>
      </c>
      <c r="B61" s="47">
        <v>51</v>
      </c>
      <c r="C61" s="121" t="str">
        <f t="shared" si="9"/>
        <v>*CZE19980914</v>
      </c>
      <c r="D61" s="122" t="str">
        <f t="shared" si="10"/>
        <v>TRACHTULEC Petr</v>
      </c>
      <c r="E61" s="123" t="str">
        <f t="shared" si="11"/>
        <v>MIX1 - CK FESO PETŘVALD</v>
      </c>
      <c r="F61" s="124">
        <f t="shared" si="12"/>
        <v>20073</v>
      </c>
      <c r="G61" s="125" t="str">
        <f t="shared" si="13"/>
        <v>JUNIOR *</v>
      </c>
      <c r="H61" s="125" t="str">
        <f t="shared" si="14"/>
        <v>SLZ</v>
      </c>
      <c r="I61" s="164">
        <f t="shared" si="15"/>
        <v>7.8252314814814816E-2</v>
      </c>
      <c r="J61" s="70">
        <f t="shared" si="16"/>
        <v>1.157407407407357E-4</v>
      </c>
      <c r="K61" s="70"/>
      <c r="M61" s="127">
        <f t="shared" si="17"/>
        <v>50</v>
      </c>
      <c r="P61" s="165">
        <v>50</v>
      </c>
      <c r="Q61" s="166">
        <v>51</v>
      </c>
      <c r="R61" s="167">
        <v>7.8252314814814816E-2</v>
      </c>
      <c r="S61" s="168">
        <v>0</v>
      </c>
      <c r="T61" s="169"/>
      <c r="U61" s="170"/>
      <c r="V61" s="171"/>
      <c r="W61" s="172"/>
      <c r="X61" s="165"/>
      <c r="Y61" s="166"/>
      <c r="Z61" s="167"/>
      <c r="AA61" s="168"/>
      <c r="AB61" s="169"/>
      <c r="AC61" s="170"/>
      <c r="AD61" s="173"/>
      <c r="AE61" s="172"/>
      <c r="AF61" s="168"/>
      <c r="AG61" s="71"/>
    </row>
    <row r="62" spans="1:33" s="127" customFormat="1" ht="14.55" customHeight="1" x14ac:dyDescent="0.25">
      <c r="A62" s="45">
        <v>51</v>
      </c>
      <c r="B62" s="47">
        <v>6</v>
      </c>
      <c r="C62" s="121" t="str">
        <f t="shared" si="9"/>
        <v>*GER19980317</v>
      </c>
      <c r="D62" s="122" t="str">
        <f t="shared" si="10"/>
        <v>SCHNEIDER William</v>
      </c>
      <c r="E62" s="123" t="str">
        <f t="shared" si="11"/>
        <v>RSC COTTBUS</v>
      </c>
      <c r="F62" s="124" t="str">
        <f t="shared" si="12"/>
        <v>BRA043275</v>
      </c>
      <c r="G62" s="125" t="str">
        <f t="shared" si="13"/>
        <v>JUNIOR *</v>
      </c>
      <c r="H62" s="125" t="str">
        <f t="shared" si="14"/>
        <v>COT</v>
      </c>
      <c r="I62" s="164">
        <f t="shared" si="15"/>
        <v>7.8252314814814816E-2</v>
      </c>
      <c r="J62" s="70">
        <f t="shared" si="16"/>
        <v>1.157407407407357E-4</v>
      </c>
      <c r="K62" s="70"/>
      <c r="M62" s="127">
        <f t="shared" si="17"/>
        <v>51</v>
      </c>
      <c r="P62" s="165">
        <v>51</v>
      </c>
      <c r="Q62" s="166">
        <v>6</v>
      </c>
      <c r="R62" s="167">
        <v>7.8252314814814816E-2</v>
      </c>
      <c r="S62" s="168">
        <v>0</v>
      </c>
      <c r="T62" s="169"/>
      <c r="U62" s="170"/>
      <c r="V62" s="171"/>
      <c r="W62" s="172"/>
      <c r="X62" s="165"/>
      <c r="Y62" s="166"/>
      <c r="Z62" s="167"/>
      <c r="AA62" s="168"/>
      <c r="AB62" s="169"/>
      <c r="AC62" s="170"/>
      <c r="AD62" s="173"/>
      <c r="AE62" s="172"/>
      <c r="AF62" s="168"/>
      <c r="AG62" s="71"/>
    </row>
    <row r="63" spans="1:33" s="127" customFormat="1" ht="14.55" customHeight="1" x14ac:dyDescent="0.25">
      <c r="A63" s="45">
        <v>52</v>
      </c>
      <c r="B63" s="47">
        <v>18</v>
      </c>
      <c r="C63" s="121" t="str">
        <f t="shared" si="9"/>
        <v>GER19990507*</v>
      </c>
      <c r="D63" s="122" t="str">
        <f t="shared" si="10"/>
        <v>PAKALSKI Henrik</v>
      </c>
      <c r="E63" s="123" t="str">
        <f t="shared" si="11"/>
        <v>THÜRINGER RADSPORT VERBAND</v>
      </c>
      <c r="F63" s="124" t="str">
        <f t="shared" si="12"/>
        <v>THÜ043870</v>
      </c>
      <c r="G63" s="125" t="str">
        <f t="shared" si="13"/>
        <v>CADET</v>
      </c>
      <c r="H63" s="125" t="str">
        <f t="shared" si="14"/>
        <v>THU</v>
      </c>
      <c r="I63" s="164">
        <f t="shared" si="15"/>
        <v>7.8252314814814816E-2</v>
      </c>
      <c r="J63" s="70">
        <f t="shared" si="16"/>
        <v>1.157407407407357E-4</v>
      </c>
      <c r="K63" s="70"/>
      <c r="M63" s="127">
        <f t="shared" si="17"/>
        <v>52</v>
      </c>
      <c r="P63" s="165">
        <v>52</v>
      </c>
      <c r="Q63" s="166">
        <v>18</v>
      </c>
      <c r="R63" s="167">
        <v>7.8252314814814816E-2</v>
      </c>
      <c r="S63" s="168">
        <v>0</v>
      </c>
      <c r="T63" s="169"/>
      <c r="U63" s="170"/>
      <c r="V63" s="171"/>
      <c r="W63" s="172"/>
      <c r="X63" s="165"/>
      <c r="Y63" s="166"/>
      <c r="Z63" s="167"/>
      <c r="AA63" s="168"/>
      <c r="AB63" s="169"/>
      <c r="AC63" s="170"/>
      <c r="AD63" s="173"/>
      <c r="AE63" s="172"/>
      <c r="AF63" s="168"/>
      <c r="AG63" s="71"/>
    </row>
    <row r="64" spans="1:33" s="127" customFormat="1" ht="14.55" customHeight="1" x14ac:dyDescent="0.25">
      <c r="A64" s="45">
        <v>53</v>
      </c>
      <c r="B64" s="47">
        <v>113</v>
      </c>
      <c r="C64" s="121" t="str">
        <f t="shared" si="9"/>
        <v>*CZE19980120</v>
      </c>
      <c r="D64" s="122" t="str">
        <f t="shared" si="10"/>
        <v xml:space="preserve">NOVÁK Jan </v>
      </c>
      <c r="E64" s="123" t="str">
        <f t="shared" si="11"/>
        <v xml:space="preserve">MIX3 - ČEZ CYKLO TEAM TÁBOR </v>
      </c>
      <c r="F64" s="124">
        <f t="shared" si="12"/>
        <v>9535</v>
      </c>
      <c r="G64" s="125" t="str">
        <f t="shared" si="13"/>
        <v>JUNIOR *</v>
      </c>
      <c r="H64" s="125" t="str">
        <f t="shared" si="14"/>
        <v>CPP</v>
      </c>
      <c r="I64" s="164">
        <f t="shared" si="15"/>
        <v>7.8252314814814816E-2</v>
      </c>
      <c r="J64" s="70">
        <f t="shared" si="16"/>
        <v>1.157407407407357E-4</v>
      </c>
      <c r="K64" s="70"/>
      <c r="M64" s="127">
        <f t="shared" si="17"/>
        <v>53</v>
      </c>
      <c r="P64" s="165">
        <v>53</v>
      </c>
      <c r="Q64" s="166">
        <v>113</v>
      </c>
      <c r="R64" s="167">
        <v>7.8252314814814816E-2</v>
      </c>
      <c r="S64" s="168">
        <v>0</v>
      </c>
      <c r="T64" s="169"/>
      <c r="U64" s="170"/>
      <c r="V64" s="171"/>
      <c r="W64" s="172"/>
      <c r="X64" s="165"/>
      <c r="Y64" s="166"/>
      <c r="Z64" s="167"/>
      <c r="AA64" s="168"/>
      <c r="AB64" s="169"/>
      <c r="AC64" s="170"/>
      <c r="AD64" s="173"/>
      <c r="AE64" s="172"/>
      <c r="AF64" s="168"/>
      <c r="AG64" s="71"/>
    </row>
    <row r="65" spans="1:33" s="127" customFormat="1" ht="14.55" customHeight="1" x14ac:dyDescent="0.25">
      <c r="A65" s="45">
        <v>54</v>
      </c>
      <c r="B65" s="47">
        <v>134</v>
      </c>
      <c r="C65" s="121" t="str">
        <f t="shared" si="9"/>
        <v>SVK19970107</v>
      </c>
      <c r="D65" s="122" t="str">
        <f t="shared" si="10"/>
        <v>JANIKOVSKÝ Lukáš</v>
      </c>
      <c r="E65" s="123" t="str">
        <f t="shared" si="11"/>
        <v>MIX5 - TJ SLAVIA SG TRENČÍN</v>
      </c>
      <c r="F65" s="124" t="str">
        <f t="shared" si="12"/>
        <v>S 7035</v>
      </c>
      <c r="G65" s="125" t="str">
        <f t="shared" si="13"/>
        <v>JUNIOR</v>
      </c>
      <c r="H65" s="125" t="str">
        <f t="shared" si="14"/>
        <v>SGT</v>
      </c>
      <c r="I65" s="164">
        <f t="shared" si="15"/>
        <v>7.8252314814814816E-2</v>
      </c>
      <c r="J65" s="70">
        <f t="shared" si="16"/>
        <v>1.157407407407357E-4</v>
      </c>
      <c r="K65" s="70"/>
      <c r="M65" s="127">
        <f t="shared" si="17"/>
        <v>54</v>
      </c>
      <c r="P65" s="165">
        <v>54</v>
      </c>
      <c r="Q65" s="166">
        <v>134</v>
      </c>
      <c r="R65" s="167">
        <v>7.8252314814814816E-2</v>
      </c>
      <c r="S65" s="168">
        <v>0</v>
      </c>
      <c r="T65" s="169"/>
      <c r="U65" s="170"/>
      <c r="V65" s="171"/>
      <c r="W65" s="172"/>
      <c r="X65" s="165"/>
      <c r="Y65" s="166"/>
      <c r="Z65" s="167"/>
      <c r="AA65" s="168"/>
      <c r="AB65" s="169"/>
      <c r="AC65" s="170"/>
      <c r="AD65" s="173"/>
      <c r="AE65" s="172"/>
      <c r="AF65" s="168"/>
      <c r="AG65" s="71"/>
    </row>
    <row r="66" spans="1:33" s="127" customFormat="1" ht="14.55" customHeight="1" x14ac:dyDescent="0.25">
      <c r="A66" s="45">
        <v>55</v>
      </c>
      <c r="B66" s="47">
        <v>60</v>
      </c>
      <c r="C66" s="121" t="str">
        <f t="shared" si="9"/>
        <v>*SVK19980115</v>
      </c>
      <c r="D66" s="122" t="str">
        <f t="shared" si="10"/>
        <v>BLAŠKOVIČ Richard</v>
      </c>
      <c r="E66" s="123" t="str">
        <f t="shared" si="11"/>
        <v>MIX1 - CK OLYMPIK TRNAVA</v>
      </c>
      <c r="F66" s="124" t="str">
        <f t="shared" si="12"/>
        <v>S 7280</v>
      </c>
      <c r="G66" s="125" t="str">
        <f t="shared" si="13"/>
        <v>JUNIOR *</v>
      </c>
      <c r="H66" s="125" t="str">
        <f t="shared" si="14"/>
        <v>SLZ</v>
      </c>
      <c r="I66" s="164">
        <f t="shared" si="15"/>
        <v>7.8252314814814816E-2</v>
      </c>
      <c r="J66" s="70">
        <f t="shared" si="16"/>
        <v>1.157407407407357E-4</v>
      </c>
      <c r="K66" s="70"/>
      <c r="M66" s="127">
        <f t="shared" si="17"/>
        <v>55</v>
      </c>
      <c r="P66" s="165">
        <v>55</v>
      </c>
      <c r="Q66" s="166">
        <v>60</v>
      </c>
      <c r="R66" s="167">
        <v>7.8252314814814816E-2</v>
      </c>
      <c r="S66" s="168">
        <v>0</v>
      </c>
      <c r="T66" s="169"/>
      <c r="U66" s="170"/>
      <c r="V66" s="171"/>
      <c r="W66" s="172"/>
      <c r="X66" s="165"/>
      <c r="Y66" s="166"/>
      <c r="Z66" s="167"/>
      <c r="AA66" s="168"/>
      <c r="AB66" s="169"/>
      <c r="AC66" s="170"/>
      <c r="AD66" s="173"/>
      <c r="AE66" s="172"/>
      <c r="AF66" s="168"/>
      <c r="AG66" s="71"/>
    </row>
    <row r="67" spans="1:33" s="127" customFormat="1" ht="14.55" customHeight="1" x14ac:dyDescent="0.25">
      <c r="A67" s="45">
        <v>56</v>
      </c>
      <c r="B67" s="47">
        <v>56</v>
      </c>
      <c r="C67" s="121" t="str">
        <f t="shared" si="9"/>
        <v>POL19970322</v>
      </c>
      <c r="D67" s="122" t="str">
        <f t="shared" si="10"/>
        <v>FOLTYN Maciej</v>
      </c>
      <c r="E67" s="123" t="str">
        <f t="shared" si="11"/>
        <v xml:space="preserve">MIX1 - GRUPA KOLARSKA GLIWICE </v>
      </c>
      <c r="F67" s="124" t="str">
        <f t="shared" si="12"/>
        <v>SLA300</v>
      </c>
      <c r="G67" s="125" t="str">
        <f t="shared" si="13"/>
        <v xml:space="preserve">JUNIOR </v>
      </c>
      <c r="H67" s="125" t="str">
        <f t="shared" si="14"/>
        <v>SLZ</v>
      </c>
      <c r="I67" s="164">
        <f t="shared" si="15"/>
        <v>7.8252314814814816E-2</v>
      </c>
      <c r="J67" s="70">
        <f t="shared" si="16"/>
        <v>1.157407407407357E-4</v>
      </c>
      <c r="K67" s="70"/>
      <c r="M67" s="127">
        <f t="shared" si="17"/>
        <v>56</v>
      </c>
      <c r="P67" s="165">
        <v>56</v>
      </c>
      <c r="Q67" s="166">
        <v>56</v>
      </c>
      <c r="R67" s="167">
        <v>7.8252314814814816E-2</v>
      </c>
      <c r="S67" s="168">
        <v>0</v>
      </c>
      <c r="T67" s="169"/>
      <c r="U67" s="170"/>
      <c r="V67" s="171"/>
      <c r="W67" s="172"/>
      <c r="X67" s="165"/>
      <c r="Y67" s="166"/>
      <c r="Z67" s="167"/>
      <c r="AA67" s="168"/>
      <c r="AB67" s="169"/>
      <c r="AC67" s="170"/>
      <c r="AD67" s="173"/>
      <c r="AE67" s="172"/>
      <c r="AF67" s="168"/>
      <c r="AG67" s="71"/>
    </row>
    <row r="68" spans="1:33" s="127" customFormat="1" ht="14.55" customHeight="1" x14ac:dyDescent="0.25">
      <c r="A68" s="45">
        <v>57</v>
      </c>
      <c r="B68" s="47">
        <v>126</v>
      </c>
      <c r="C68" s="121" t="str">
        <f t="shared" si="9"/>
        <v>CZE19970916</v>
      </c>
      <c r="D68" s="122" t="str">
        <f t="shared" si="10"/>
        <v xml:space="preserve">KUNT Lukáš </v>
      </c>
      <c r="E68" s="123" t="str">
        <f t="shared" si="11"/>
        <v xml:space="preserve">MIX4 - REMERX - MERIDA TEAM KOLÍN </v>
      </c>
      <c r="F68" s="124">
        <f t="shared" si="12"/>
        <v>14658</v>
      </c>
      <c r="G68" s="125" t="str">
        <f t="shared" si="13"/>
        <v xml:space="preserve">JUNIOR </v>
      </c>
      <c r="H68" s="125" t="str">
        <f t="shared" si="14"/>
        <v>KOO</v>
      </c>
      <c r="I68" s="164">
        <f t="shared" si="15"/>
        <v>7.8252314814814816E-2</v>
      </c>
      <c r="J68" s="70">
        <f t="shared" si="16"/>
        <v>1.157407407407357E-4</v>
      </c>
      <c r="K68" s="70"/>
      <c r="M68" s="127">
        <f t="shared" si="17"/>
        <v>57</v>
      </c>
      <c r="P68" s="165">
        <v>57</v>
      </c>
      <c r="Q68" s="166">
        <v>126</v>
      </c>
      <c r="R68" s="167">
        <v>7.8252314814814816E-2</v>
      </c>
      <c r="S68" s="168">
        <v>0</v>
      </c>
      <c r="T68" s="169"/>
      <c r="U68" s="170"/>
      <c r="V68" s="171"/>
      <c r="W68" s="172"/>
      <c r="X68" s="165"/>
      <c r="Y68" s="166"/>
      <c r="Z68" s="167"/>
      <c r="AA68" s="168"/>
      <c r="AB68" s="169"/>
      <c r="AC68" s="170"/>
      <c r="AD68" s="173"/>
      <c r="AE68" s="172"/>
      <c r="AF68" s="168"/>
      <c r="AG68" s="71"/>
    </row>
    <row r="69" spans="1:33" s="127" customFormat="1" ht="14.55" customHeight="1" x14ac:dyDescent="0.25">
      <c r="A69" s="45">
        <v>58</v>
      </c>
      <c r="B69" s="47">
        <v>162</v>
      </c>
      <c r="C69" s="121" t="str">
        <f t="shared" si="9"/>
        <v>AUT19970327</v>
      </c>
      <c r="D69" s="122" t="str">
        <f t="shared" si="10"/>
        <v>GURSCH Georg</v>
      </c>
      <c r="E69" s="123" t="str">
        <f t="shared" si="11"/>
        <v>LRV STEIERMARK</v>
      </c>
      <c r="F69" s="124">
        <f t="shared" si="12"/>
        <v>100312</v>
      </c>
      <c r="G69" s="125" t="str">
        <f t="shared" si="13"/>
        <v xml:space="preserve">JUNIOR </v>
      </c>
      <c r="H69" s="125" t="str">
        <f t="shared" si="14"/>
        <v>LRS</v>
      </c>
      <c r="I69" s="164">
        <f t="shared" si="15"/>
        <v>7.8252314814814816E-2</v>
      </c>
      <c r="J69" s="70">
        <f t="shared" si="16"/>
        <v>1.157407407407357E-4</v>
      </c>
      <c r="K69" s="70"/>
      <c r="M69" s="127">
        <f t="shared" si="17"/>
        <v>58</v>
      </c>
      <c r="P69" s="165">
        <v>58</v>
      </c>
      <c r="Q69" s="166">
        <v>162</v>
      </c>
      <c r="R69" s="167">
        <v>7.8252314814814816E-2</v>
      </c>
      <c r="S69" s="168">
        <v>0</v>
      </c>
      <c r="T69" s="169"/>
      <c r="U69" s="170"/>
      <c r="V69" s="171"/>
      <c r="W69" s="172"/>
      <c r="X69" s="165"/>
      <c r="Y69" s="166"/>
      <c r="Z69" s="167"/>
      <c r="AA69" s="168"/>
      <c r="AB69" s="169"/>
      <c r="AC69" s="170"/>
      <c r="AD69" s="173"/>
      <c r="AE69" s="172"/>
      <c r="AF69" s="168"/>
      <c r="AG69" s="71"/>
    </row>
    <row r="70" spans="1:33" s="127" customFormat="1" ht="14.55" customHeight="1" x14ac:dyDescent="0.25">
      <c r="A70" s="45">
        <v>59</v>
      </c>
      <c r="B70" s="47">
        <v>27</v>
      </c>
      <c r="C70" s="121" t="str">
        <f t="shared" si="9"/>
        <v>CZE19970516</v>
      </c>
      <c r="D70" s="122" t="str">
        <f t="shared" si="10"/>
        <v xml:space="preserve">ŠORM Jiří </v>
      </c>
      <c r="E70" s="123" t="str">
        <f t="shared" si="11"/>
        <v xml:space="preserve">MAPEI MERIDA KAŇKOVSKÝ </v>
      </c>
      <c r="F70" s="124">
        <f t="shared" si="12"/>
        <v>7794</v>
      </c>
      <c r="G70" s="125" t="str">
        <f t="shared" si="13"/>
        <v xml:space="preserve">JUNIOR </v>
      </c>
      <c r="H70" s="125" t="str">
        <f t="shared" si="14"/>
        <v>MAP</v>
      </c>
      <c r="I70" s="164">
        <f t="shared" si="15"/>
        <v>7.8252314814814816E-2</v>
      </c>
      <c r="J70" s="70">
        <f t="shared" si="16"/>
        <v>1.157407407407357E-4</v>
      </c>
      <c r="K70" s="70"/>
      <c r="M70" s="127">
        <f t="shared" si="17"/>
        <v>59</v>
      </c>
      <c r="P70" s="165">
        <v>59</v>
      </c>
      <c r="Q70" s="166">
        <v>27</v>
      </c>
      <c r="R70" s="167">
        <v>7.8252314814814816E-2</v>
      </c>
      <c r="S70" s="168">
        <v>0</v>
      </c>
      <c r="T70" s="169"/>
      <c r="U70" s="170"/>
      <c r="V70" s="171"/>
      <c r="W70" s="172"/>
      <c r="X70" s="165"/>
      <c r="Y70" s="166"/>
      <c r="Z70" s="167"/>
      <c r="AA70" s="168"/>
      <c r="AB70" s="169"/>
      <c r="AC70" s="170"/>
      <c r="AD70" s="173"/>
      <c r="AE70" s="172"/>
      <c r="AF70" s="168"/>
      <c r="AG70" s="71"/>
    </row>
    <row r="71" spans="1:33" s="127" customFormat="1" ht="14.55" customHeight="1" x14ac:dyDescent="0.25">
      <c r="A71" s="45">
        <v>60</v>
      </c>
      <c r="B71" s="47">
        <v>165</v>
      </c>
      <c r="C71" s="121" t="str">
        <f t="shared" si="9"/>
        <v>AUT19970502</v>
      </c>
      <c r="D71" s="122" t="str">
        <f t="shared" si="10"/>
        <v>RECKENDORFER Lukas</v>
      </c>
      <c r="E71" s="123" t="str">
        <f t="shared" si="11"/>
        <v>LRV STEIERMARK</v>
      </c>
      <c r="F71" s="124">
        <f t="shared" si="12"/>
        <v>100633</v>
      </c>
      <c r="G71" s="125" t="str">
        <f t="shared" si="13"/>
        <v xml:space="preserve">JUNIOR </v>
      </c>
      <c r="H71" s="125" t="str">
        <f t="shared" si="14"/>
        <v>LRS</v>
      </c>
      <c r="I71" s="164">
        <f t="shared" si="15"/>
        <v>7.8252314814814816E-2</v>
      </c>
      <c r="J71" s="70">
        <f t="shared" si="16"/>
        <v>1.157407407407357E-4</v>
      </c>
      <c r="K71" s="70"/>
      <c r="M71" s="127">
        <f t="shared" si="17"/>
        <v>60</v>
      </c>
      <c r="P71" s="165">
        <v>60</v>
      </c>
      <c r="Q71" s="166">
        <v>165</v>
      </c>
      <c r="R71" s="167">
        <v>7.8252314814814816E-2</v>
      </c>
      <c r="S71" s="168">
        <v>0</v>
      </c>
      <c r="T71" s="169"/>
      <c r="U71" s="170"/>
      <c r="V71" s="171"/>
      <c r="W71" s="172"/>
      <c r="X71" s="165"/>
      <c r="Y71" s="166"/>
      <c r="Z71" s="167"/>
      <c r="AA71" s="168"/>
      <c r="AB71" s="169"/>
      <c r="AC71" s="170"/>
      <c r="AD71" s="173"/>
      <c r="AE71" s="172"/>
      <c r="AF71" s="168"/>
      <c r="AG71" s="71"/>
    </row>
    <row r="72" spans="1:33" s="127" customFormat="1" ht="14.55" customHeight="1" x14ac:dyDescent="0.25">
      <c r="A72" s="45">
        <v>61</v>
      </c>
      <c r="B72" s="47">
        <v>85</v>
      </c>
      <c r="C72" s="121" t="str">
        <f t="shared" si="9"/>
        <v>GER19970211</v>
      </c>
      <c r="D72" s="122" t="str">
        <f t="shared" si="10"/>
        <v>URNAUER Lauritz</v>
      </c>
      <c r="E72" s="123" t="str">
        <f t="shared" si="11"/>
        <v>GERMAN NATIONAL TEAM</v>
      </c>
      <c r="F72" s="124" t="str">
        <f t="shared" si="12"/>
        <v>HAM062815</v>
      </c>
      <c r="G72" s="125" t="str">
        <f t="shared" si="13"/>
        <v xml:space="preserve">JUNIOR </v>
      </c>
      <c r="H72" s="125" t="str">
        <f t="shared" si="14"/>
        <v>GER</v>
      </c>
      <c r="I72" s="164">
        <f t="shared" si="15"/>
        <v>7.8252314814814816E-2</v>
      </c>
      <c r="J72" s="70">
        <f t="shared" si="16"/>
        <v>1.157407407407357E-4</v>
      </c>
      <c r="K72" s="70"/>
      <c r="M72" s="127">
        <f t="shared" si="17"/>
        <v>61</v>
      </c>
      <c r="P72" s="165">
        <v>61</v>
      </c>
      <c r="Q72" s="166">
        <v>85</v>
      </c>
      <c r="R72" s="167">
        <v>7.8252314814814816E-2</v>
      </c>
      <c r="S72" s="168">
        <v>0</v>
      </c>
      <c r="T72" s="169"/>
      <c r="U72" s="170"/>
      <c r="V72" s="171"/>
      <c r="W72" s="172"/>
      <c r="X72" s="165"/>
      <c r="Y72" s="166"/>
      <c r="Z72" s="167"/>
      <c r="AA72" s="168"/>
      <c r="AB72" s="169"/>
      <c r="AC72" s="170"/>
      <c r="AD72" s="173"/>
      <c r="AE72" s="172"/>
      <c r="AF72" s="168"/>
      <c r="AG72" s="71"/>
    </row>
    <row r="73" spans="1:33" s="127" customFormat="1" ht="14.55" customHeight="1" x14ac:dyDescent="0.25">
      <c r="A73" s="45">
        <v>62</v>
      </c>
      <c r="B73" s="47">
        <v>52</v>
      </c>
      <c r="C73" s="121" t="str">
        <f t="shared" si="9"/>
        <v>*CZE19980529</v>
      </c>
      <c r="D73" s="122" t="str">
        <f t="shared" si="10"/>
        <v>KREJČÍ Marian</v>
      </c>
      <c r="E73" s="123" t="str">
        <f t="shared" si="11"/>
        <v>MIX1 - ACK STARÁ VES NAD ONDŘEJNICÍ</v>
      </c>
      <c r="F73" s="124">
        <f t="shared" si="12"/>
        <v>20626</v>
      </c>
      <c r="G73" s="125" t="str">
        <f t="shared" si="13"/>
        <v>JUNIOR *</v>
      </c>
      <c r="H73" s="125" t="str">
        <f t="shared" si="14"/>
        <v>SLZ</v>
      </c>
      <c r="I73" s="164">
        <f t="shared" si="15"/>
        <v>7.8252314814814816E-2</v>
      </c>
      <c r="J73" s="70">
        <f t="shared" si="16"/>
        <v>1.157407407407357E-4</v>
      </c>
      <c r="K73" s="70"/>
      <c r="M73" s="127">
        <f t="shared" si="17"/>
        <v>62</v>
      </c>
      <c r="P73" s="165">
        <v>62</v>
      </c>
      <c r="Q73" s="166">
        <v>52</v>
      </c>
      <c r="R73" s="167">
        <v>7.8252314814814816E-2</v>
      </c>
      <c r="S73" s="168">
        <v>0</v>
      </c>
      <c r="T73" s="169"/>
      <c r="U73" s="170"/>
      <c r="V73" s="171"/>
      <c r="W73" s="172"/>
      <c r="X73" s="165"/>
      <c r="Y73" s="166"/>
      <c r="Z73" s="167"/>
      <c r="AA73" s="168"/>
      <c r="AB73" s="169"/>
      <c r="AC73" s="170"/>
      <c r="AD73" s="173"/>
      <c r="AE73" s="172"/>
      <c r="AF73" s="168"/>
      <c r="AG73" s="71"/>
    </row>
    <row r="74" spans="1:33" s="127" customFormat="1" ht="14.55" customHeight="1" x14ac:dyDescent="0.25">
      <c r="A74" s="45">
        <v>63</v>
      </c>
      <c r="B74" s="47">
        <v>12</v>
      </c>
      <c r="C74" s="121" t="str">
        <f t="shared" si="9"/>
        <v>GER19970725</v>
      </c>
      <c r="D74" s="122" t="str">
        <f t="shared" si="10"/>
        <v>MAGDEBURG Tobias</v>
      </c>
      <c r="E74" s="123" t="str">
        <f t="shared" si="11"/>
        <v>THÜRINGER RADSPORT VERBAND</v>
      </c>
      <c r="F74" s="124" t="str">
        <f t="shared" si="12"/>
        <v>THÜ173735</v>
      </c>
      <c r="G74" s="125" t="str">
        <f t="shared" si="13"/>
        <v xml:space="preserve">JUNIOR </v>
      </c>
      <c r="H74" s="125" t="str">
        <f t="shared" si="14"/>
        <v>THU</v>
      </c>
      <c r="I74" s="164">
        <f t="shared" si="15"/>
        <v>7.8252314814814816E-2</v>
      </c>
      <c r="J74" s="70">
        <f t="shared" si="16"/>
        <v>1.157407407407357E-4</v>
      </c>
      <c r="K74" s="70"/>
      <c r="M74" s="127">
        <f t="shared" si="17"/>
        <v>63</v>
      </c>
      <c r="P74" s="165">
        <v>63</v>
      </c>
      <c r="Q74" s="166">
        <v>12</v>
      </c>
      <c r="R74" s="167">
        <v>7.8252314814814816E-2</v>
      </c>
      <c r="S74" s="168">
        <v>0</v>
      </c>
      <c r="T74" s="169"/>
      <c r="U74" s="170"/>
      <c r="V74" s="171"/>
      <c r="W74" s="172"/>
      <c r="X74" s="165"/>
      <c r="Y74" s="166"/>
      <c r="Z74" s="167"/>
      <c r="AA74" s="168"/>
      <c r="AB74" s="169"/>
      <c r="AC74" s="170"/>
      <c r="AD74" s="173"/>
      <c r="AE74" s="172"/>
      <c r="AF74" s="168"/>
      <c r="AG74" s="71"/>
    </row>
    <row r="75" spans="1:33" s="127" customFormat="1" ht="14.55" customHeight="1" x14ac:dyDescent="0.25">
      <c r="A75" s="45">
        <v>64</v>
      </c>
      <c r="B75" s="47">
        <v>76</v>
      </c>
      <c r="C75" s="121" t="str">
        <f t="shared" si="9"/>
        <v>CZE19971201</v>
      </c>
      <c r="D75" s="122" t="str">
        <f t="shared" si="10"/>
        <v xml:space="preserve">ŠTIBINGR Matěj </v>
      </c>
      <c r="E75" s="123" t="str">
        <f t="shared" si="11"/>
        <v xml:space="preserve">MIX2  - SP KOLO LOAP SPECIALIZED </v>
      </c>
      <c r="F75" s="124">
        <f t="shared" si="12"/>
        <v>19527</v>
      </c>
      <c r="G75" s="125" t="str">
        <f t="shared" si="13"/>
        <v xml:space="preserve">JUNIOR </v>
      </c>
      <c r="H75" s="125" t="str">
        <f t="shared" si="14"/>
        <v>KOV</v>
      </c>
      <c r="I75" s="164">
        <f t="shared" si="15"/>
        <v>7.8252314814814816E-2</v>
      </c>
      <c r="J75" s="70">
        <f t="shared" si="16"/>
        <v>1.157407407407357E-4</v>
      </c>
      <c r="K75" s="70"/>
      <c r="M75" s="127">
        <f t="shared" si="17"/>
        <v>64</v>
      </c>
      <c r="P75" s="165">
        <v>64</v>
      </c>
      <c r="Q75" s="166">
        <v>76</v>
      </c>
      <c r="R75" s="167">
        <v>7.8252314814814816E-2</v>
      </c>
      <c r="S75" s="168">
        <v>0</v>
      </c>
      <c r="T75" s="169"/>
      <c r="U75" s="170"/>
      <c r="V75" s="171"/>
      <c r="W75" s="172"/>
      <c r="X75" s="165"/>
      <c r="Y75" s="166"/>
      <c r="Z75" s="167"/>
      <c r="AA75" s="168"/>
      <c r="AB75" s="169"/>
      <c r="AC75" s="170"/>
      <c r="AD75" s="173"/>
      <c r="AE75" s="172"/>
      <c r="AF75" s="168"/>
      <c r="AG75" s="71"/>
    </row>
    <row r="76" spans="1:33" s="127" customFormat="1" ht="14.55" customHeight="1" x14ac:dyDescent="0.25">
      <c r="A76" s="45">
        <v>65</v>
      </c>
      <c r="B76" s="47">
        <v>122</v>
      </c>
      <c r="C76" s="121" t="str">
        <f t="shared" ref="C76:C107" si="18">VLOOKUP(B76,STARTOVKA,2,0)</f>
        <v>*CZE19980914</v>
      </c>
      <c r="D76" s="122" t="str">
        <f t="shared" ref="D76:D107" si="19">VLOOKUP(B76,STARTOVKA,3,0)</f>
        <v xml:space="preserve">HRUBÝ Jakub </v>
      </c>
      <c r="E76" s="123" t="str">
        <f t="shared" ref="E76:E107" si="20">VLOOKUP(B76,STARTOVKA,4,0)</f>
        <v>MIX4 - KC KOOPERATIVA SG JABLONEC N.N</v>
      </c>
      <c r="F76" s="124">
        <f t="shared" ref="F76:F107" si="21">VLOOKUP(B76,STARTOVKA,5,0)</f>
        <v>19500</v>
      </c>
      <c r="G76" s="125" t="str">
        <f t="shared" ref="G76:G107" si="22">VLOOKUP(B76,STARTOVKA,6,0)</f>
        <v>JUNIOR *</v>
      </c>
      <c r="H76" s="125" t="str">
        <f t="shared" ref="H76:H107" si="23">VLOOKUP(B76,STARTOVKA,7,0)</f>
        <v>KOO</v>
      </c>
      <c r="I76" s="164">
        <f t="shared" ref="I76:I107" si="24">SUM(R76,V76,Z76,AD76)-SUM(S76,W76,AA76,AE76)+AF76</f>
        <v>7.8252314814814816E-2</v>
      </c>
      <c r="J76" s="70">
        <f t="shared" ref="J76:J107" si="25">I76-$I$12</f>
        <v>1.157407407407357E-4</v>
      </c>
      <c r="K76" s="70"/>
      <c r="M76" s="127">
        <f t="shared" ref="M76:M107" si="26">A76</f>
        <v>65</v>
      </c>
      <c r="P76" s="165">
        <v>65</v>
      </c>
      <c r="Q76" s="166">
        <v>122</v>
      </c>
      <c r="R76" s="167">
        <v>7.8252314814814816E-2</v>
      </c>
      <c r="S76" s="168">
        <v>0</v>
      </c>
      <c r="T76" s="169"/>
      <c r="U76" s="170"/>
      <c r="V76" s="171"/>
      <c r="W76" s="172"/>
      <c r="X76" s="165"/>
      <c r="Y76" s="166"/>
      <c r="Z76" s="167"/>
      <c r="AA76" s="168"/>
      <c r="AB76" s="169"/>
      <c r="AC76" s="170"/>
      <c r="AD76" s="173"/>
      <c r="AE76" s="172"/>
      <c r="AF76" s="168"/>
      <c r="AG76" s="71"/>
    </row>
    <row r="77" spans="1:33" s="127" customFormat="1" ht="14.55" customHeight="1" x14ac:dyDescent="0.25">
      <c r="A77" s="45">
        <v>66</v>
      </c>
      <c r="B77" s="47">
        <v>138</v>
      </c>
      <c r="C77" s="121" t="str">
        <f t="shared" si="18"/>
        <v>POL19970608</v>
      </c>
      <c r="D77" s="122" t="str">
        <f t="shared" si="19"/>
        <v>BISKUP Bartosz</v>
      </c>
      <c r="E77" s="123" t="str">
        <f t="shared" si="20"/>
        <v>MIX5 - DSR AUTHOR GÓRNIK WAŁBRZYCH</v>
      </c>
      <c r="F77" s="124" t="str">
        <f t="shared" si="21"/>
        <v>DLS198</v>
      </c>
      <c r="G77" s="125" t="str">
        <f t="shared" si="22"/>
        <v xml:space="preserve">JUNIOR </v>
      </c>
      <c r="H77" s="125" t="str">
        <f t="shared" si="23"/>
        <v>SGT</v>
      </c>
      <c r="I77" s="164">
        <f t="shared" si="24"/>
        <v>7.8252314814814816E-2</v>
      </c>
      <c r="J77" s="70">
        <f t="shared" si="25"/>
        <v>1.157407407407357E-4</v>
      </c>
      <c r="K77" s="70"/>
      <c r="M77" s="127">
        <f t="shared" si="26"/>
        <v>66</v>
      </c>
      <c r="P77" s="165">
        <v>66</v>
      </c>
      <c r="Q77" s="166">
        <v>138</v>
      </c>
      <c r="R77" s="167">
        <v>7.8252314814814816E-2</v>
      </c>
      <c r="S77" s="168">
        <v>0</v>
      </c>
      <c r="T77" s="169"/>
      <c r="U77" s="170"/>
      <c r="V77" s="171"/>
      <c r="W77" s="172"/>
      <c r="X77" s="165"/>
      <c r="Y77" s="166"/>
      <c r="Z77" s="167"/>
      <c r="AA77" s="168"/>
      <c r="AB77" s="169"/>
      <c r="AC77" s="170"/>
      <c r="AD77" s="173"/>
      <c r="AE77" s="172"/>
      <c r="AF77" s="168"/>
      <c r="AG77" s="71"/>
    </row>
    <row r="78" spans="1:33" s="127" customFormat="1" ht="14.55" customHeight="1" x14ac:dyDescent="0.25">
      <c r="A78" s="45">
        <v>67</v>
      </c>
      <c r="B78" s="47">
        <v>123</v>
      </c>
      <c r="C78" s="121" t="str">
        <f t="shared" si="18"/>
        <v>*CZE19980217</v>
      </c>
      <c r="D78" s="122" t="str">
        <f t="shared" si="19"/>
        <v xml:space="preserve">ŠIMŮNEK Adam </v>
      </c>
      <c r="E78" s="123" t="str">
        <f t="shared" si="20"/>
        <v>MIX4 - KC KOOPERATIVA SG JABLONEC N.N</v>
      </c>
      <c r="F78" s="124">
        <f t="shared" si="21"/>
        <v>20008</v>
      </c>
      <c r="G78" s="125" t="str">
        <f t="shared" si="22"/>
        <v>JUNIOR *</v>
      </c>
      <c r="H78" s="125" t="str">
        <f t="shared" si="23"/>
        <v>KOO</v>
      </c>
      <c r="I78" s="164">
        <f t="shared" si="24"/>
        <v>7.8252314814814816E-2</v>
      </c>
      <c r="J78" s="70">
        <f t="shared" si="25"/>
        <v>1.157407407407357E-4</v>
      </c>
      <c r="K78" s="70"/>
      <c r="M78" s="127">
        <f t="shared" si="26"/>
        <v>67</v>
      </c>
      <c r="P78" s="165">
        <v>67</v>
      </c>
      <c r="Q78" s="166">
        <v>123</v>
      </c>
      <c r="R78" s="167">
        <v>7.8252314814814816E-2</v>
      </c>
      <c r="S78" s="168">
        <v>0</v>
      </c>
      <c r="T78" s="169"/>
      <c r="U78" s="170"/>
      <c r="V78" s="171"/>
      <c r="W78" s="172"/>
      <c r="X78" s="165"/>
      <c r="Y78" s="166"/>
      <c r="Z78" s="167"/>
      <c r="AA78" s="168"/>
      <c r="AB78" s="169"/>
      <c r="AC78" s="170"/>
      <c r="AD78" s="173"/>
      <c r="AE78" s="172"/>
      <c r="AF78" s="168"/>
      <c r="AG78" s="71"/>
    </row>
    <row r="79" spans="1:33" s="127" customFormat="1" ht="14.55" customHeight="1" x14ac:dyDescent="0.25">
      <c r="A79" s="45">
        <v>68</v>
      </c>
      <c r="B79" s="47">
        <v>127</v>
      </c>
      <c r="C79" s="121" t="str">
        <f t="shared" si="18"/>
        <v>CZE19991001*</v>
      </c>
      <c r="D79" s="122" t="str">
        <f t="shared" si="19"/>
        <v xml:space="preserve">VANÍČEK Šimon </v>
      </c>
      <c r="E79" s="123" t="str">
        <f t="shared" si="20"/>
        <v xml:space="preserve">MIX4 - REMERX - MERIDA TEAM KOLÍN </v>
      </c>
      <c r="F79" s="124">
        <f t="shared" si="21"/>
        <v>10306</v>
      </c>
      <c r="G79" s="125" t="str">
        <f t="shared" si="22"/>
        <v>CADET</v>
      </c>
      <c r="H79" s="125" t="str">
        <f t="shared" si="23"/>
        <v>KOO</v>
      </c>
      <c r="I79" s="164">
        <f t="shared" si="24"/>
        <v>7.8252314814814816E-2</v>
      </c>
      <c r="J79" s="70">
        <f t="shared" si="25"/>
        <v>1.157407407407357E-4</v>
      </c>
      <c r="K79" s="70"/>
      <c r="M79" s="127">
        <f t="shared" si="26"/>
        <v>68</v>
      </c>
      <c r="P79" s="165">
        <v>68</v>
      </c>
      <c r="Q79" s="166">
        <v>127</v>
      </c>
      <c r="R79" s="167">
        <v>7.8252314814814816E-2</v>
      </c>
      <c r="S79" s="168">
        <v>0</v>
      </c>
      <c r="T79" s="169"/>
      <c r="U79" s="170"/>
      <c r="V79" s="171"/>
      <c r="W79" s="172"/>
      <c r="X79" s="165"/>
      <c r="Y79" s="166"/>
      <c r="Z79" s="167"/>
      <c r="AA79" s="168"/>
      <c r="AB79" s="169"/>
      <c r="AC79" s="170"/>
      <c r="AD79" s="173"/>
      <c r="AE79" s="172"/>
      <c r="AF79" s="168"/>
      <c r="AG79" s="71"/>
    </row>
    <row r="80" spans="1:33" s="127" customFormat="1" ht="14.55" customHeight="1" x14ac:dyDescent="0.25">
      <c r="A80" s="45">
        <v>69</v>
      </c>
      <c r="B80" s="47">
        <v>132</v>
      </c>
      <c r="C80" s="121" t="str">
        <f t="shared" si="18"/>
        <v>*SVK19981117</v>
      </c>
      <c r="D80" s="122" t="str">
        <f t="shared" si="19"/>
        <v>ZEMAN Alex</v>
      </c>
      <c r="E80" s="123" t="str">
        <f t="shared" si="20"/>
        <v>MIX5 - TJ SLAVIA SG TRENČÍN</v>
      </c>
      <c r="F80" s="124" t="str">
        <f t="shared" si="21"/>
        <v>S 6021</v>
      </c>
      <c r="G80" s="125" t="str">
        <f t="shared" si="22"/>
        <v>JUNIOR *</v>
      </c>
      <c r="H80" s="125" t="str">
        <f t="shared" si="23"/>
        <v>SGT</v>
      </c>
      <c r="I80" s="164">
        <f t="shared" si="24"/>
        <v>7.8252314814814816E-2</v>
      </c>
      <c r="J80" s="70">
        <f t="shared" si="25"/>
        <v>1.157407407407357E-4</v>
      </c>
      <c r="K80" s="70"/>
      <c r="M80" s="127">
        <f t="shared" si="26"/>
        <v>69</v>
      </c>
      <c r="P80" s="165">
        <v>69</v>
      </c>
      <c r="Q80" s="166">
        <v>132</v>
      </c>
      <c r="R80" s="167">
        <v>7.8252314814814816E-2</v>
      </c>
      <c r="S80" s="168">
        <v>0</v>
      </c>
      <c r="T80" s="169"/>
      <c r="U80" s="170"/>
      <c r="V80" s="171"/>
      <c r="W80" s="172"/>
      <c r="X80" s="165"/>
      <c r="Y80" s="166"/>
      <c r="Z80" s="167"/>
      <c r="AA80" s="168"/>
      <c r="AB80" s="169"/>
      <c r="AC80" s="170"/>
      <c r="AD80" s="173"/>
      <c r="AE80" s="172"/>
      <c r="AF80" s="168"/>
      <c r="AG80" s="71"/>
    </row>
    <row r="81" spans="1:33" s="127" customFormat="1" ht="14.55" customHeight="1" x14ac:dyDescent="0.25">
      <c r="A81" s="45">
        <v>70</v>
      </c>
      <c r="B81" s="47">
        <v>14</v>
      </c>
      <c r="C81" s="121" t="str">
        <f t="shared" si="18"/>
        <v>*GER19980425</v>
      </c>
      <c r="D81" s="122" t="str">
        <f t="shared" si="19"/>
        <v>WITTMANN Hannes</v>
      </c>
      <c r="E81" s="123" t="str">
        <f t="shared" si="20"/>
        <v>THÜRINGER RADSPORT VERBAND</v>
      </c>
      <c r="F81" s="124" t="str">
        <f t="shared" si="21"/>
        <v>THÜ173829</v>
      </c>
      <c r="G81" s="125" t="str">
        <f t="shared" si="22"/>
        <v>JUNIOR *</v>
      </c>
      <c r="H81" s="125" t="str">
        <f t="shared" si="23"/>
        <v>THU</v>
      </c>
      <c r="I81" s="164">
        <f t="shared" si="24"/>
        <v>7.856481481481481E-2</v>
      </c>
      <c r="J81" s="70">
        <f t="shared" si="25"/>
        <v>4.2824074074072904E-4</v>
      </c>
      <c r="K81" s="70"/>
      <c r="M81" s="127">
        <f t="shared" si="26"/>
        <v>70</v>
      </c>
      <c r="P81" s="165">
        <v>70</v>
      </c>
      <c r="Q81" s="166">
        <v>14</v>
      </c>
      <c r="R81" s="167">
        <v>7.856481481481481E-2</v>
      </c>
      <c r="S81" s="168">
        <v>0</v>
      </c>
      <c r="T81" s="169"/>
      <c r="U81" s="170"/>
      <c r="V81" s="171"/>
      <c r="W81" s="172"/>
      <c r="X81" s="165"/>
      <c r="Y81" s="166"/>
      <c r="Z81" s="167"/>
      <c r="AA81" s="168"/>
      <c r="AB81" s="169"/>
      <c r="AC81" s="170"/>
      <c r="AD81" s="173"/>
      <c r="AE81" s="172"/>
      <c r="AF81" s="168"/>
      <c r="AG81" s="71"/>
    </row>
    <row r="82" spans="1:33" s="127" customFormat="1" ht="14.55" customHeight="1" x14ac:dyDescent="0.25">
      <c r="A82" s="45">
        <v>71</v>
      </c>
      <c r="B82" s="47">
        <v>16</v>
      </c>
      <c r="C82" s="121" t="str">
        <f t="shared" si="18"/>
        <v>*GER19980416</v>
      </c>
      <c r="D82" s="122" t="str">
        <f t="shared" si="19"/>
        <v>KÄßMANN Fabian</v>
      </c>
      <c r="E82" s="123" t="str">
        <f t="shared" si="20"/>
        <v>THÜRINGER RADSPORT VERBAND</v>
      </c>
      <c r="F82" s="124" t="str">
        <f t="shared" si="21"/>
        <v>THÜ173410</v>
      </c>
      <c r="G82" s="125" t="str">
        <f t="shared" si="22"/>
        <v>JUNIOR *</v>
      </c>
      <c r="H82" s="125" t="str">
        <f t="shared" si="23"/>
        <v>THU</v>
      </c>
      <c r="I82" s="164">
        <f t="shared" si="24"/>
        <v>7.856481481481481E-2</v>
      </c>
      <c r="J82" s="70">
        <f t="shared" si="25"/>
        <v>4.2824074074072904E-4</v>
      </c>
      <c r="K82" s="70"/>
      <c r="M82" s="127">
        <f t="shared" si="26"/>
        <v>71</v>
      </c>
      <c r="P82" s="165">
        <v>71</v>
      </c>
      <c r="Q82" s="166">
        <v>16</v>
      </c>
      <c r="R82" s="167">
        <v>7.856481481481481E-2</v>
      </c>
      <c r="S82" s="168">
        <v>0</v>
      </c>
      <c r="T82" s="169"/>
      <c r="U82" s="170"/>
      <c r="V82" s="171"/>
      <c r="W82" s="172"/>
      <c r="X82" s="165"/>
      <c r="Y82" s="166"/>
      <c r="Z82" s="167"/>
      <c r="AA82" s="168"/>
      <c r="AB82" s="169"/>
      <c r="AC82" s="170"/>
      <c r="AD82" s="173"/>
      <c r="AE82" s="172"/>
      <c r="AF82" s="168"/>
      <c r="AG82" s="71"/>
    </row>
    <row r="83" spans="1:33" s="127" customFormat="1" ht="14.55" customHeight="1" x14ac:dyDescent="0.25">
      <c r="A83" s="45">
        <v>72</v>
      </c>
      <c r="B83" s="47">
        <v>66</v>
      </c>
      <c r="C83" s="121" t="str">
        <f t="shared" si="18"/>
        <v>BEL19991125*</v>
      </c>
      <c r="D83" s="122" t="str">
        <f t="shared" si="19"/>
        <v>VAN GILS Maxim</v>
      </c>
      <c r="E83" s="123" t="str">
        <f t="shared" si="20"/>
        <v>WAC TEAM HOBOKEN</v>
      </c>
      <c r="F83" s="124">
        <f t="shared" si="21"/>
        <v>53896</v>
      </c>
      <c r="G83" s="125" t="str">
        <f t="shared" si="22"/>
        <v>CADET</v>
      </c>
      <c r="H83" s="125" t="str">
        <f t="shared" si="23"/>
        <v>WAC</v>
      </c>
      <c r="I83" s="164">
        <f t="shared" si="24"/>
        <v>7.856481481481481E-2</v>
      </c>
      <c r="J83" s="70">
        <f t="shared" si="25"/>
        <v>4.2824074074072904E-4</v>
      </c>
      <c r="K83" s="70"/>
      <c r="M83" s="127">
        <f t="shared" si="26"/>
        <v>72</v>
      </c>
      <c r="P83" s="165">
        <v>72</v>
      </c>
      <c r="Q83" s="166">
        <v>66</v>
      </c>
      <c r="R83" s="167">
        <v>7.856481481481481E-2</v>
      </c>
      <c r="S83" s="168">
        <v>0</v>
      </c>
      <c r="T83" s="169"/>
      <c r="U83" s="170"/>
      <c r="V83" s="171"/>
      <c r="W83" s="172"/>
      <c r="X83" s="165"/>
      <c r="Y83" s="166"/>
      <c r="Z83" s="167"/>
      <c r="AA83" s="168"/>
      <c r="AB83" s="169"/>
      <c r="AC83" s="170"/>
      <c r="AD83" s="173"/>
      <c r="AE83" s="172"/>
      <c r="AF83" s="168"/>
      <c r="AG83" s="71"/>
    </row>
    <row r="84" spans="1:33" s="127" customFormat="1" ht="14.55" customHeight="1" x14ac:dyDescent="0.25">
      <c r="A84" s="45">
        <v>73</v>
      </c>
      <c r="B84" s="47">
        <v>82</v>
      </c>
      <c r="C84" s="121" t="str">
        <f t="shared" si="18"/>
        <v>*GER19980319</v>
      </c>
      <c r="D84" s="122" t="str">
        <f t="shared" si="19"/>
        <v>MEILER Martin</v>
      </c>
      <c r="E84" s="123" t="str">
        <f t="shared" si="20"/>
        <v>GERMAN NATIONAL TEAM</v>
      </c>
      <c r="F84" s="124" t="str">
        <f t="shared" si="21"/>
        <v>BAY029445</v>
      </c>
      <c r="G84" s="125" t="str">
        <f t="shared" si="22"/>
        <v>JUNIOR *</v>
      </c>
      <c r="H84" s="125" t="str">
        <f t="shared" si="23"/>
        <v>GER</v>
      </c>
      <c r="I84" s="164">
        <f t="shared" si="24"/>
        <v>7.856481481481481E-2</v>
      </c>
      <c r="J84" s="70">
        <f t="shared" si="25"/>
        <v>4.2824074074072904E-4</v>
      </c>
      <c r="K84" s="70"/>
      <c r="M84" s="127">
        <f t="shared" si="26"/>
        <v>73</v>
      </c>
      <c r="P84" s="165">
        <v>73</v>
      </c>
      <c r="Q84" s="166">
        <v>82</v>
      </c>
      <c r="R84" s="167">
        <v>7.856481481481481E-2</v>
      </c>
      <c r="S84" s="168">
        <v>0</v>
      </c>
      <c r="T84" s="169"/>
      <c r="U84" s="170"/>
      <c r="V84" s="171"/>
      <c r="W84" s="172"/>
      <c r="X84" s="165"/>
      <c r="Y84" s="166"/>
      <c r="Z84" s="167"/>
      <c r="AA84" s="168"/>
      <c r="AB84" s="169"/>
      <c r="AC84" s="170"/>
      <c r="AD84" s="173"/>
      <c r="AE84" s="172"/>
      <c r="AF84" s="168"/>
      <c r="AG84" s="71"/>
    </row>
    <row r="85" spans="1:33" s="127" customFormat="1" ht="14.55" customHeight="1" x14ac:dyDescent="0.25">
      <c r="A85" s="45">
        <v>74</v>
      </c>
      <c r="B85" s="47">
        <v>166</v>
      </c>
      <c r="C85" s="121" t="str">
        <f t="shared" si="18"/>
        <v>AUT19971029</v>
      </c>
      <c r="D85" s="122" t="str">
        <f t="shared" si="19"/>
        <v>WAIBEL Christian</v>
      </c>
      <c r="E85" s="123" t="str">
        <f t="shared" si="20"/>
        <v>LRV STEIERMARK</v>
      </c>
      <c r="F85" s="124">
        <f t="shared" si="21"/>
        <v>100327</v>
      </c>
      <c r="G85" s="125" t="str">
        <f t="shared" si="22"/>
        <v xml:space="preserve">JUNIOR </v>
      </c>
      <c r="H85" s="125" t="str">
        <f t="shared" si="23"/>
        <v>LRS</v>
      </c>
      <c r="I85" s="164">
        <f t="shared" si="24"/>
        <v>7.856481481481481E-2</v>
      </c>
      <c r="J85" s="70">
        <f t="shared" si="25"/>
        <v>4.2824074074072904E-4</v>
      </c>
      <c r="K85" s="70"/>
      <c r="M85" s="127">
        <f t="shared" si="26"/>
        <v>74</v>
      </c>
      <c r="P85" s="165">
        <v>74</v>
      </c>
      <c r="Q85" s="166">
        <v>166</v>
      </c>
      <c r="R85" s="167">
        <v>7.856481481481481E-2</v>
      </c>
      <c r="S85" s="168">
        <v>0</v>
      </c>
      <c r="T85" s="169"/>
      <c r="U85" s="170"/>
      <c r="V85" s="171"/>
      <c r="W85" s="172"/>
      <c r="X85" s="165"/>
      <c r="Y85" s="166"/>
      <c r="Z85" s="167"/>
      <c r="AA85" s="168"/>
      <c r="AB85" s="169"/>
      <c r="AC85" s="170"/>
      <c r="AD85" s="173"/>
      <c r="AE85" s="172"/>
      <c r="AF85" s="168"/>
      <c r="AG85" s="71"/>
    </row>
    <row r="86" spans="1:33" s="127" customFormat="1" ht="14.55" customHeight="1" x14ac:dyDescent="0.25">
      <c r="A86" s="45">
        <v>75</v>
      </c>
      <c r="B86" s="47">
        <v>22</v>
      </c>
      <c r="C86" s="121" t="str">
        <f t="shared" si="18"/>
        <v>CZE19970821</v>
      </c>
      <c r="D86" s="122" t="str">
        <f t="shared" si="19"/>
        <v xml:space="preserve">LAŠTŮVKA David </v>
      </c>
      <c r="E86" s="123" t="str">
        <f t="shared" si="20"/>
        <v xml:space="preserve">MAPEI MERIDA KAŇKOVSKÝ </v>
      </c>
      <c r="F86" s="124">
        <f t="shared" si="21"/>
        <v>20242</v>
      </c>
      <c r="G86" s="125" t="str">
        <f t="shared" si="22"/>
        <v xml:space="preserve">JUNIOR </v>
      </c>
      <c r="H86" s="125" t="str">
        <f t="shared" si="23"/>
        <v>MAP</v>
      </c>
      <c r="I86" s="164">
        <f t="shared" si="24"/>
        <v>7.856481481481481E-2</v>
      </c>
      <c r="J86" s="70">
        <f t="shared" si="25"/>
        <v>4.2824074074072904E-4</v>
      </c>
      <c r="K86" s="70"/>
      <c r="M86" s="127">
        <f t="shared" si="26"/>
        <v>75</v>
      </c>
      <c r="P86" s="165">
        <v>75</v>
      </c>
      <c r="Q86" s="166">
        <v>22</v>
      </c>
      <c r="R86" s="167">
        <v>7.856481481481481E-2</v>
      </c>
      <c r="S86" s="168">
        <v>0</v>
      </c>
      <c r="T86" s="169"/>
      <c r="U86" s="170"/>
      <c r="V86" s="171"/>
      <c r="W86" s="172"/>
      <c r="X86" s="165"/>
      <c r="Y86" s="166"/>
      <c r="Z86" s="167"/>
      <c r="AA86" s="168"/>
      <c r="AB86" s="169"/>
      <c r="AC86" s="170"/>
      <c r="AD86" s="173"/>
      <c r="AE86" s="172"/>
      <c r="AF86" s="168"/>
      <c r="AG86" s="71"/>
    </row>
    <row r="87" spans="1:33" s="127" customFormat="1" ht="14.55" customHeight="1" x14ac:dyDescent="0.25">
      <c r="A87" s="45">
        <v>76</v>
      </c>
      <c r="B87" s="47">
        <v>104</v>
      </c>
      <c r="C87" s="121" t="str">
        <f t="shared" si="18"/>
        <v>SVK19970514</v>
      </c>
      <c r="D87" s="122" t="str">
        <f t="shared" si="19"/>
        <v>TRUBAN Matej</v>
      </c>
      <c r="E87" s="123" t="str">
        <f t="shared" si="20"/>
        <v>SLOVAK CYCLING FEDERATION</v>
      </c>
      <c r="F87" s="124" t="str">
        <f t="shared" si="21"/>
        <v>S 4238</v>
      </c>
      <c r="G87" s="125" t="str">
        <f t="shared" si="22"/>
        <v xml:space="preserve">JUNIOR </v>
      </c>
      <c r="H87" s="125" t="str">
        <f t="shared" si="23"/>
        <v>SVK</v>
      </c>
      <c r="I87" s="164">
        <f t="shared" si="24"/>
        <v>7.856481481481481E-2</v>
      </c>
      <c r="J87" s="70">
        <f t="shared" si="25"/>
        <v>4.2824074074072904E-4</v>
      </c>
      <c r="K87" s="70"/>
      <c r="M87" s="127">
        <f t="shared" si="26"/>
        <v>76</v>
      </c>
      <c r="P87" s="165">
        <v>76</v>
      </c>
      <c r="Q87" s="166">
        <v>104</v>
      </c>
      <c r="R87" s="167">
        <v>7.856481481481481E-2</v>
      </c>
      <c r="S87" s="168">
        <v>0</v>
      </c>
      <c r="T87" s="169"/>
      <c r="U87" s="170"/>
      <c r="V87" s="171"/>
      <c r="W87" s="172"/>
      <c r="X87" s="165"/>
      <c r="Y87" s="166"/>
      <c r="Z87" s="167"/>
      <c r="AA87" s="168"/>
      <c r="AB87" s="169"/>
      <c r="AC87" s="170"/>
      <c r="AD87" s="173"/>
      <c r="AE87" s="172"/>
      <c r="AF87" s="168"/>
      <c r="AG87" s="71"/>
    </row>
    <row r="88" spans="1:33" s="127" customFormat="1" ht="14.55" customHeight="1" x14ac:dyDescent="0.25">
      <c r="A88" s="45">
        <v>77</v>
      </c>
      <c r="B88" s="47">
        <v>72</v>
      </c>
      <c r="C88" s="121" t="str">
        <f t="shared" si="18"/>
        <v>CZE19971221</v>
      </c>
      <c r="D88" s="122" t="str">
        <f t="shared" si="19"/>
        <v xml:space="preserve">KRUMPHANZL Matyáš </v>
      </c>
      <c r="E88" s="123" t="str">
        <f t="shared" si="20"/>
        <v xml:space="preserve">MIX2  - SUPERIOR BRENTJENS MTB TEAM </v>
      </c>
      <c r="F88" s="124">
        <f t="shared" si="21"/>
        <v>16722</v>
      </c>
      <c r="G88" s="125" t="str">
        <f t="shared" si="22"/>
        <v xml:space="preserve">JUNIOR </v>
      </c>
      <c r="H88" s="125" t="str">
        <f t="shared" si="23"/>
        <v>KOV</v>
      </c>
      <c r="I88" s="164">
        <f t="shared" si="24"/>
        <v>7.856481481481481E-2</v>
      </c>
      <c r="J88" s="70">
        <f t="shared" si="25"/>
        <v>4.2824074074072904E-4</v>
      </c>
      <c r="K88" s="70"/>
      <c r="M88" s="127">
        <f t="shared" si="26"/>
        <v>77</v>
      </c>
      <c r="P88" s="165">
        <v>77</v>
      </c>
      <c r="Q88" s="166">
        <v>72</v>
      </c>
      <c r="R88" s="167">
        <v>7.856481481481481E-2</v>
      </c>
      <c r="S88" s="168">
        <v>0</v>
      </c>
      <c r="T88" s="169"/>
      <c r="U88" s="170"/>
      <c r="V88" s="171"/>
      <c r="W88" s="172"/>
      <c r="X88" s="165"/>
      <c r="Y88" s="166"/>
      <c r="Z88" s="167"/>
      <c r="AA88" s="168"/>
      <c r="AB88" s="169"/>
      <c r="AC88" s="170"/>
      <c r="AD88" s="173"/>
      <c r="AE88" s="172"/>
      <c r="AF88" s="168"/>
      <c r="AG88" s="71"/>
    </row>
    <row r="89" spans="1:33" s="127" customFormat="1" ht="14.55" customHeight="1" x14ac:dyDescent="0.25">
      <c r="A89" s="45">
        <v>78</v>
      </c>
      <c r="B89" s="47">
        <v>62</v>
      </c>
      <c r="C89" s="121" t="str">
        <f t="shared" si="18"/>
        <v>BEL19970621</v>
      </c>
      <c r="D89" s="122" t="str">
        <f t="shared" si="19"/>
        <v>DEKKERS Robin</v>
      </c>
      <c r="E89" s="123" t="str">
        <f t="shared" si="20"/>
        <v>WAC TEAM HOBOKEN</v>
      </c>
      <c r="F89" s="124">
        <f t="shared" si="21"/>
        <v>55822</v>
      </c>
      <c r="G89" s="125" t="str">
        <f t="shared" si="22"/>
        <v xml:space="preserve">JUNIOR </v>
      </c>
      <c r="H89" s="125" t="str">
        <f t="shared" si="23"/>
        <v>WAC</v>
      </c>
      <c r="I89" s="164">
        <f t="shared" si="24"/>
        <v>7.885416666666667E-2</v>
      </c>
      <c r="J89" s="70">
        <f t="shared" si="25"/>
        <v>7.1759259259258912E-4</v>
      </c>
      <c r="K89" s="70"/>
      <c r="M89" s="127">
        <f t="shared" si="26"/>
        <v>78</v>
      </c>
      <c r="P89" s="165">
        <v>78</v>
      </c>
      <c r="Q89" s="166">
        <v>62</v>
      </c>
      <c r="R89" s="167">
        <v>7.885416666666667E-2</v>
      </c>
      <c r="S89" s="168">
        <v>0</v>
      </c>
      <c r="T89" s="169"/>
      <c r="U89" s="170"/>
      <c r="V89" s="171"/>
      <c r="W89" s="172"/>
      <c r="X89" s="165"/>
      <c r="Y89" s="166"/>
      <c r="Z89" s="167"/>
      <c r="AA89" s="168"/>
      <c r="AB89" s="169"/>
      <c r="AC89" s="170"/>
      <c r="AD89" s="173"/>
      <c r="AE89" s="172"/>
      <c r="AF89" s="168"/>
      <c r="AG89" s="71"/>
    </row>
    <row r="90" spans="1:33" s="127" customFormat="1" ht="14.55" customHeight="1" x14ac:dyDescent="0.25">
      <c r="A90" s="45">
        <v>79</v>
      </c>
      <c r="B90" s="47">
        <v>33</v>
      </c>
      <c r="C90" s="121" t="str">
        <f t="shared" si="18"/>
        <v>*GER19980912</v>
      </c>
      <c r="D90" s="122" t="str">
        <f t="shared" si="19"/>
        <v>CLAUSS Marc</v>
      </c>
      <c r="E90" s="123" t="str">
        <f t="shared" si="20"/>
        <v>JUNIOREN SCHWALBE TEAM SACHSEN</v>
      </c>
      <c r="F90" s="124" t="str">
        <f t="shared" si="21"/>
        <v>SAC135276</v>
      </c>
      <c r="G90" s="125" t="str">
        <f t="shared" si="22"/>
        <v>JUNIOR *</v>
      </c>
      <c r="H90" s="125" t="str">
        <f t="shared" si="23"/>
        <v>SAC</v>
      </c>
      <c r="I90" s="164">
        <f t="shared" si="24"/>
        <v>7.885416666666667E-2</v>
      </c>
      <c r="J90" s="70">
        <f t="shared" si="25"/>
        <v>7.1759259259258912E-4</v>
      </c>
      <c r="K90" s="70"/>
      <c r="M90" s="127">
        <f t="shared" si="26"/>
        <v>79</v>
      </c>
      <c r="P90" s="165">
        <v>79</v>
      </c>
      <c r="Q90" s="166">
        <v>33</v>
      </c>
      <c r="R90" s="167">
        <v>7.885416666666667E-2</v>
      </c>
      <c r="S90" s="168">
        <v>0</v>
      </c>
      <c r="T90" s="169"/>
      <c r="U90" s="170"/>
      <c r="V90" s="171"/>
      <c r="W90" s="172"/>
      <c r="X90" s="165"/>
      <c r="Y90" s="166"/>
      <c r="Z90" s="167"/>
      <c r="AA90" s="168"/>
      <c r="AB90" s="169"/>
      <c r="AC90" s="170"/>
      <c r="AD90" s="173"/>
      <c r="AE90" s="172"/>
      <c r="AF90" s="168"/>
      <c r="AG90" s="71"/>
    </row>
    <row r="91" spans="1:33" s="127" customFormat="1" ht="14.55" customHeight="1" x14ac:dyDescent="0.25">
      <c r="A91" s="45">
        <v>80</v>
      </c>
      <c r="B91" s="47">
        <v>157</v>
      </c>
      <c r="C91" s="121" t="str">
        <f t="shared" si="18"/>
        <v>*AUT19981224</v>
      </c>
      <c r="D91" s="122" t="str">
        <f t="shared" si="19"/>
        <v>STIDL Timo</v>
      </c>
      <c r="E91" s="123" t="str">
        <f t="shared" si="20"/>
        <v>MIX7 - RLM WIEN (RADLEISTUNGSMODELL WIEN)</v>
      </c>
      <c r="F91" s="124">
        <f t="shared" si="21"/>
        <v>100224</v>
      </c>
      <c r="G91" s="125" t="str">
        <f t="shared" si="22"/>
        <v>JUNIOR *</v>
      </c>
      <c r="H91" s="125" t="str">
        <f t="shared" si="23"/>
        <v>RLM</v>
      </c>
      <c r="I91" s="164">
        <f t="shared" si="24"/>
        <v>7.885416666666667E-2</v>
      </c>
      <c r="J91" s="70">
        <f t="shared" si="25"/>
        <v>7.1759259259258912E-4</v>
      </c>
      <c r="K91" s="70"/>
      <c r="M91" s="127">
        <f t="shared" si="26"/>
        <v>80</v>
      </c>
      <c r="P91" s="165">
        <v>80</v>
      </c>
      <c r="Q91" s="166">
        <v>157</v>
      </c>
      <c r="R91" s="167">
        <v>7.885416666666667E-2</v>
      </c>
      <c r="S91" s="168">
        <v>0</v>
      </c>
      <c r="T91" s="169"/>
      <c r="U91" s="170"/>
      <c r="V91" s="171"/>
      <c r="W91" s="172"/>
      <c r="X91" s="165"/>
      <c r="Y91" s="166"/>
      <c r="Z91" s="167"/>
      <c r="AA91" s="168"/>
      <c r="AB91" s="169"/>
      <c r="AC91" s="170"/>
      <c r="AD91" s="173"/>
      <c r="AE91" s="172"/>
      <c r="AF91" s="168"/>
      <c r="AG91" s="71"/>
    </row>
    <row r="92" spans="1:33" s="127" customFormat="1" ht="14.55" customHeight="1" x14ac:dyDescent="0.25">
      <c r="A92" s="45">
        <v>81</v>
      </c>
      <c r="B92" s="47">
        <v>61</v>
      </c>
      <c r="C92" s="121" t="str">
        <f t="shared" si="18"/>
        <v>*BEL19980425</v>
      </c>
      <c r="D92" s="122" t="str">
        <f t="shared" si="19"/>
        <v>COMMISSARIS Lucas</v>
      </c>
      <c r="E92" s="123" t="str">
        <f t="shared" si="20"/>
        <v>WAC TEAM HOBOKEN</v>
      </c>
      <c r="F92" s="124">
        <f t="shared" si="21"/>
        <v>57573</v>
      </c>
      <c r="G92" s="125" t="str">
        <f t="shared" si="22"/>
        <v>JUNIOR *</v>
      </c>
      <c r="H92" s="125" t="str">
        <f t="shared" si="23"/>
        <v>WAC</v>
      </c>
      <c r="I92" s="164">
        <f t="shared" si="24"/>
        <v>7.885416666666667E-2</v>
      </c>
      <c r="J92" s="70">
        <f t="shared" si="25"/>
        <v>7.1759259259258912E-4</v>
      </c>
      <c r="K92" s="70"/>
      <c r="M92" s="127">
        <f t="shared" si="26"/>
        <v>81</v>
      </c>
      <c r="P92" s="165">
        <v>81</v>
      </c>
      <c r="Q92" s="166">
        <v>61</v>
      </c>
      <c r="R92" s="167">
        <v>7.885416666666667E-2</v>
      </c>
      <c r="S92" s="168">
        <v>0</v>
      </c>
      <c r="T92" s="169"/>
      <c r="U92" s="170"/>
      <c r="V92" s="171"/>
      <c r="W92" s="172"/>
      <c r="X92" s="165"/>
      <c r="Y92" s="166"/>
      <c r="Z92" s="167"/>
      <c r="AA92" s="168"/>
      <c r="AB92" s="169"/>
      <c r="AC92" s="170"/>
      <c r="AD92" s="173"/>
      <c r="AE92" s="172"/>
      <c r="AF92" s="168"/>
      <c r="AG92" s="71"/>
    </row>
    <row r="93" spans="1:33" s="127" customFormat="1" ht="14.55" customHeight="1" x14ac:dyDescent="0.25">
      <c r="A93" s="45">
        <v>82</v>
      </c>
      <c r="B93" s="47">
        <v>64</v>
      </c>
      <c r="C93" s="121" t="str">
        <f t="shared" si="18"/>
        <v>*BEL19980519</v>
      </c>
      <c r="D93" s="122" t="str">
        <f t="shared" si="19"/>
        <v>KONINGS Frits</v>
      </c>
      <c r="E93" s="123" t="str">
        <f t="shared" si="20"/>
        <v>WAC TEAM HOBOKEN</v>
      </c>
      <c r="F93" s="124">
        <f t="shared" si="21"/>
        <v>49059</v>
      </c>
      <c r="G93" s="125" t="str">
        <f t="shared" si="22"/>
        <v>JUNIOR *</v>
      </c>
      <c r="H93" s="125" t="str">
        <f t="shared" si="23"/>
        <v>WAC</v>
      </c>
      <c r="I93" s="164">
        <f t="shared" si="24"/>
        <v>7.885416666666667E-2</v>
      </c>
      <c r="J93" s="70">
        <f t="shared" si="25"/>
        <v>7.1759259259258912E-4</v>
      </c>
      <c r="K93" s="70"/>
      <c r="M93" s="127">
        <f t="shared" si="26"/>
        <v>82</v>
      </c>
      <c r="P93" s="165">
        <v>82</v>
      </c>
      <c r="Q93" s="166">
        <v>64</v>
      </c>
      <c r="R93" s="167">
        <v>7.885416666666667E-2</v>
      </c>
      <c r="S93" s="168">
        <v>0</v>
      </c>
      <c r="T93" s="169"/>
      <c r="U93" s="170"/>
      <c r="V93" s="171"/>
      <c r="W93" s="172"/>
      <c r="X93" s="165"/>
      <c r="Y93" s="166"/>
      <c r="Z93" s="167"/>
      <c r="AA93" s="168"/>
      <c r="AB93" s="169"/>
      <c r="AC93" s="170"/>
      <c r="AD93" s="173"/>
      <c r="AE93" s="172"/>
      <c r="AF93" s="168"/>
      <c r="AG93" s="71"/>
    </row>
    <row r="94" spans="1:33" s="127" customFormat="1" ht="14.55" customHeight="1" x14ac:dyDescent="0.25">
      <c r="A94" s="45">
        <v>83</v>
      </c>
      <c r="B94" s="47">
        <v>32</v>
      </c>
      <c r="C94" s="121" t="str">
        <f t="shared" si="18"/>
        <v>*GER19980114</v>
      </c>
      <c r="D94" s="122" t="str">
        <f t="shared" si="19"/>
        <v>BONNES Julius</v>
      </c>
      <c r="E94" s="123" t="str">
        <f t="shared" si="20"/>
        <v>JUNIOREN SCHWALBE TEAM SACHSEN</v>
      </c>
      <c r="F94" s="124" t="str">
        <f t="shared" si="21"/>
        <v>SAC142150</v>
      </c>
      <c r="G94" s="125" t="str">
        <f t="shared" si="22"/>
        <v>JUNIOR *</v>
      </c>
      <c r="H94" s="125" t="str">
        <f t="shared" si="23"/>
        <v>SAC</v>
      </c>
      <c r="I94" s="164">
        <f t="shared" si="24"/>
        <v>7.8912037037037031E-2</v>
      </c>
      <c r="J94" s="70">
        <f t="shared" si="25"/>
        <v>7.7546296296295003E-4</v>
      </c>
      <c r="K94" s="70"/>
      <c r="M94" s="127">
        <f t="shared" si="26"/>
        <v>83</v>
      </c>
      <c r="P94" s="165">
        <v>83</v>
      </c>
      <c r="Q94" s="166">
        <v>32</v>
      </c>
      <c r="R94" s="167">
        <v>7.8912037037037031E-2</v>
      </c>
      <c r="S94" s="168">
        <v>0</v>
      </c>
      <c r="T94" s="169"/>
      <c r="U94" s="170"/>
      <c r="V94" s="171"/>
      <c r="W94" s="172"/>
      <c r="X94" s="165"/>
      <c r="Y94" s="166"/>
      <c r="Z94" s="167"/>
      <c r="AA94" s="168"/>
      <c r="AB94" s="169"/>
      <c r="AC94" s="170"/>
      <c r="AD94" s="173"/>
      <c r="AE94" s="172"/>
      <c r="AF94" s="168"/>
      <c r="AG94" s="71"/>
    </row>
    <row r="95" spans="1:33" s="127" customFormat="1" ht="14.55" customHeight="1" x14ac:dyDescent="0.25">
      <c r="A95" s="45">
        <v>84</v>
      </c>
      <c r="B95" s="47">
        <v>91</v>
      </c>
      <c r="C95" s="121" t="str">
        <f t="shared" si="18"/>
        <v>*GER19981104</v>
      </c>
      <c r="D95" s="122" t="str">
        <f t="shared" si="19"/>
        <v>BRANDT Nicolas</v>
      </c>
      <c r="E95" s="123" t="str">
        <f t="shared" si="20"/>
        <v>RG BERLIN</v>
      </c>
      <c r="F95" s="124" t="str">
        <f t="shared" si="21"/>
        <v>BER034971</v>
      </c>
      <c r="G95" s="125" t="str">
        <f t="shared" si="22"/>
        <v>JUNIOR *</v>
      </c>
      <c r="H95" s="125" t="str">
        <f t="shared" si="23"/>
        <v>RGB</v>
      </c>
      <c r="I95" s="164">
        <f t="shared" si="24"/>
        <v>8.0497685185185186E-2</v>
      </c>
      <c r="J95" s="70">
        <f t="shared" si="25"/>
        <v>2.3611111111111055E-3</v>
      </c>
      <c r="K95" s="70"/>
      <c r="M95" s="127">
        <f t="shared" si="26"/>
        <v>84</v>
      </c>
      <c r="P95" s="165">
        <v>84</v>
      </c>
      <c r="Q95" s="166">
        <v>91</v>
      </c>
      <c r="R95" s="167">
        <v>8.0497685185185186E-2</v>
      </c>
      <c r="S95" s="168">
        <v>0</v>
      </c>
      <c r="T95" s="169"/>
      <c r="U95" s="170"/>
      <c r="V95" s="171"/>
      <c r="W95" s="172"/>
      <c r="X95" s="165"/>
      <c r="Y95" s="166"/>
      <c r="Z95" s="167"/>
      <c r="AA95" s="168"/>
      <c r="AB95" s="169"/>
      <c r="AC95" s="170"/>
      <c r="AD95" s="173"/>
      <c r="AE95" s="172"/>
      <c r="AF95" s="168"/>
      <c r="AG95" s="71"/>
    </row>
    <row r="96" spans="1:33" s="127" customFormat="1" ht="14.55" customHeight="1" x14ac:dyDescent="0.25">
      <c r="A96" s="45">
        <v>85</v>
      </c>
      <c r="B96" s="47">
        <v>135</v>
      </c>
      <c r="C96" s="121" t="str">
        <f t="shared" si="18"/>
        <v>SVK19970207</v>
      </c>
      <c r="D96" s="122" t="str">
        <f t="shared" si="19"/>
        <v>GAVENDA Miroslav</v>
      </c>
      <c r="E96" s="123" t="str">
        <f t="shared" si="20"/>
        <v>MIX5 - TJ SLAVIA SG TRENČÍN</v>
      </c>
      <c r="F96" s="124" t="str">
        <f t="shared" si="21"/>
        <v>S 6366</v>
      </c>
      <c r="G96" s="125" t="str">
        <f t="shared" si="22"/>
        <v>JUNIOR</v>
      </c>
      <c r="H96" s="125" t="str">
        <f t="shared" si="23"/>
        <v>SGT</v>
      </c>
      <c r="I96" s="164">
        <f t="shared" si="24"/>
        <v>8.0497685185185186E-2</v>
      </c>
      <c r="J96" s="70">
        <f t="shared" si="25"/>
        <v>2.3611111111111055E-3</v>
      </c>
      <c r="K96" s="70"/>
      <c r="M96" s="127">
        <f t="shared" si="26"/>
        <v>85</v>
      </c>
      <c r="P96" s="165">
        <v>85</v>
      </c>
      <c r="Q96" s="166">
        <v>135</v>
      </c>
      <c r="R96" s="167">
        <v>8.0497685185185186E-2</v>
      </c>
      <c r="S96" s="168">
        <v>0</v>
      </c>
      <c r="T96" s="169"/>
      <c r="U96" s="170"/>
      <c r="V96" s="171"/>
      <c r="W96" s="172"/>
      <c r="X96" s="165"/>
      <c r="Y96" s="166"/>
      <c r="Z96" s="167"/>
      <c r="AA96" s="168"/>
      <c r="AB96" s="169"/>
      <c r="AC96" s="170"/>
      <c r="AD96" s="173"/>
      <c r="AE96" s="172"/>
      <c r="AF96" s="168"/>
      <c r="AG96" s="71"/>
    </row>
    <row r="97" spans="1:33" s="127" customFormat="1" ht="14.55" customHeight="1" x14ac:dyDescent="0.25">
      <c r="A97" s="45">
        <v>86</v>
      </c>
      <c r="B97" s="47">
        <v>133</v>
      </c>
      <c r="C97" s="121" t="str">
        <f t="shared" si="18"/>
        <v>*SVK19980324</v>
      </c>
      <c r="D97" s="122" t="str">
        <f t="shared" si="19"/>
        <v>KOVÁČ Milan</v>
      </c>
      <c r="E97" s="123" t="str">
        <f t="shared" si="20"/>
        <v>MIX5 - TJ SLAVIA SG TRENČÍN</v>
      </c>
      <c r="F97" s="124" t="str">
        <f t="shared" si="21"/>
        <v>S 5908</v>
      </c>
      <c r="G97" s="125" t="str">
        <f t="shared" si="22"/>
        <v>JUNIOR *</v>
      </c>
      <c r="H97" s="125" t="str">
        <f t="shared" si="23"/>
        <v>SGT</v>
      </c>
      <c r="I97" s="164">
        <f t="shared" si="24"/>
        <v>8.0497685185185186E-2</v>
      </c>
      <c r="J97" s="70">
        <f t="shared" si="25"/>
        <v>2.3611111111111055E-3</v>
      </c>
      <c r="K97" s="70"/>
      <c r="M97" s="127">
        <f t="shared" si="26"/>
        <v>86</v>
      </c>
      <c r="P97" s="165">
        <v>86</v>
      </c>
      <c r="Q97" s="166">
        <v>133</v>
      </c>
      <c r="R97" s="167">
        <v>8.0497685185185186E-2</v>
      </c>
      <c r="S97" s="168">
        <v>0</v>
      </c>
      <c r="T97" s="169"/>
      <c r="U97" s="170"/>
      <c r="V97" s="171"/>
      <c r="W97" s="172"/>
      <c r="X97" s="165"/>
      <c r="Y97" s="166"/>
      <c r="Z97" s="167"/>
      <c r="AA97" s="168"/>
      <c r="AB97" s="169"/>
      <c r="AC97" s="170"/>
      <c r="AD97" s="173"/>
      <c r="AE97" s="172"/>
      <c r="AF97" s="168"/>
      <c r="AG97" s="71"/>
    </row>
    <row r="98" spans="1:33" s="127" customFormat="1" ht="14.55" customHeight="1" x14ac:dyDescent="0.25">
      <c r="A98" s="45">
        <v>87</v>
      </c>
      <c r="B98" s="47">
        <v>38</v>
      </c>
      <c r="C98" s="121" t="str">
        <f t="shared" si="18"/>
        <v>*GER19980430</v>
      </c>
      <c r="D98" s="122" t="str">
        <f t="shared" si="19"/>
        <v>SCHNEIDER Jonas</v>
      </c>
      <c r="E98" s="123" t="str">
        <f t="shared" si="20"/>
        <v>JUNIOREN SCHWALBE TEAM SACHSEN</v>
      </c>
      <c r="F98" s="124" t="str">
        <f t="shared" si="21"/>
        <v>SAC135307</v>
      </c>
      <c r="G98" s="125" t="str">
        <f t="shared" si="22"/>
        <v>JUNIOR *</v>
      </c>
      <c r="H98" s="125" t="str">
        <f t="shared" si="23"/>
        <v>SAC</v>
      </c>
      <c r="I98" s="164">
        <f t="shared" si="24"/>
        <v>8.1203703703703708E-2</v>
      </c>
      <c r="J98" s="70">
        <f t="shared" si="25"/>
        <v>3.067129629629628E-3</v>
      </c>
      <c r="K98" s="70"/>
      <c r="M98" s="127">
        <f t="shared" si="26"/>
        <v>87</v>
      </c>
      <c r="P98" s="165">
        <v>87</v>
      </c>
      <c r="Q98" s="166">
        <v>38</v>
      </c>
      <c r="R98" s="167">
        <v>8.1203703703703708E-2</v>
      </c>
      <c r="S98" s="168">
        <v>0</v>
      </c>
      <c r="T98" s="169"/>
      <c r="U98" s="170"/>
      <c r="V98" s="171"/>
      <c r="W98" s="172"/>
      <c r="X98" s="165"/>
      <c r="Y98" s="166"/>
      <c r="Z98" s="167"/>
      <c r="AA98" s="168"/>
      <c r="AB98" s="169"/>
      <c r="AC98" s="170"/>
      <c r="AD98" s="173"/>
      <c r="AE98" s="172"/>
      <c r="AF98" s="168"/>
      <c r="AG98" s="71"/>
    </row>
    <row r="99" spans="1:33" s="127" customFormat="1" ht="14.55" customHeight="1" x14ac:dyDescent="0.25">
      <c r="A99" s="45">
        <v>88</v>
      </c>
      <c r="B99" s="47">
        <v>35</v>
      </c>
      <c r="C99" s="121" t="str">
        <f t="shared" si="18"/>
        <v>GER19990531*</v>
      </c>
      <c r="D99" s="122" t="str">
        <f t="shared" si="19"/>
        <v>KAMLOT Tom</v>
      </c>
      <c r="E99" s="123" t="str">
        <f t="shared" si="20"/>
        <v>JUNIOREN SCHWALBE TEAM SACHSEN</v>
      </c>
      <c r="F99" s="124" t="str">
        <f t="shared" si="21"/>
        <v>SAC135966</v>
      </c>
      <c r="G99" s="125" t="str">
        <f t="shared" si="22"/>
        <v>CADET</v>
      </c>
      <c r="H99" s="125" t="str">
        <f t="shared" si="23"/>
        <v>SAC</v>
      </c>
      <c r="I99" s="164">
        <f t="shared" si="24"/>
        <v>8.1365740740740738E-2</v>
      </c>
      <c r="J99" s="70">
        <f t="shared" si="25"/>
        <v>3.229166666666658E-3</v>
      </c>
      <c r="K99" s="70"/>
      <c r="M99" s="127">
        <f t="shared" si="26"/>
        <v>88</v>
      </c>
      <c r="P99" s="165">
        <v>88</v>
      </c>
      <c r="Q99" s="166">
        <v>35</v>
      </c>
      <c r="R99" s="167">
        <v>8.1365740740740738E-2</v>
      </c>
      <c r="S99" s="168">
        <v>0</v>
      </c>
      <c r="T99" s="169"/>
      <c r="U99" s="170"/>
      <c r="V99" s="171"/>
      <c r="W99" s="172"/>
      <c r="X99" s="165"/>
      <c r="Y99" s="166"/>
      <c r="Z99" s="167"/>
      <c r="AA99" s="168"/>
      <c r="AB99" s="169"/>
      <c r="AC99" s="170"/>
      <c r="AD99" s="173"/>
      <c r="AE99" s="172"/>
      <c r="AF99" s="168"/>
      <c r="AG99" s="71"/>
    </row>
    <row r="100" spans="1:33" s="127" customFormat="1" ht="14.55" customHeight="1" x14ac:dyDescent="0.25">
      <c r="A100" s="45">
        <v>89</v>
      </c>
      <c r="B100" s="47">
        <v>137</v>
      </c>
      <c r="C100" s="121" t="str">
        <f t="shared" si="18"/>
        <v>SVK19970906</v>
      </c>
      <c r="D100" s="122" t="str">
        <f t="shared" si="19"/>
        <v>HLOŽA Michal</v>
      </c>
      <c r="E100" s="123" t="str">
        <f t="shared" si="20"/>
        <v>MIX5 - TJ SLAVIA SG TRENČÍN</v>
      </c>
      <c r="F100" s="124" t="str">
        <f t="shared" si="21"/>
        <v>S 6501</v>
      </c>
      <c r="G100" s="125" t="str">
        <f t="shared" si="22"/>
        <v xml:space="preserve">JUNIOR </v>
      </c>
      <c r="H100" s="125" t="str">
        <f t="shared" si="23"/>
        <v>SGT</v>
      </c>
      <c r="I100" s="164">
        <f t="shared" si="24"/>
        <v>8.1423611111111113E-2</v>
      </c>
      <c r="J100" s="70">
        <f t="shared" si="25"/>
        <v>3.2870370370370328E-3</v>
      </c>
      <c r="K100" s="70"/>
      <c r="M100" s="127">
        <f t="shared" si="26"/>
        <v>89</v>
      </c>
      <c r="P100" s="165">
        <v>89</v>
      </c>
      <c r="Q100" s="166">
        <v>137</v>
      </c>
      <c r="R100" s="167">
        <v>8.1423611111111113E-2</v>
      </c>
      <c r="S100" s="168">
        <v>0</v>
      </c>
      <c r="T100" s="169"/>
      <c r="U100" s="170"/>
      <c r="V100" s="171"/>
      <c r="W100" s="172"/>
      <c r="X100" s="165"/>
      <c r="Y100" s="166"/>
      <c r="Z100" s="167"/>
      <c r="AA100" s="168"/>
      <c r="AB100" s="169"/>
      <c r="AC100" s="170"/>
      <c r="AD100" s="173"/>
      <c r="AE100" s="172"/>
      <c r="AF100" s="168"/>
      <c r="AG100" s="71"/>
    </row>
    <row r="101" spans="1:33" s="127" customFormat="1" ht="14.55" customHeight="1" x14ac:dyDescent="0.25">
      <c r="A101" s="45">
        <v>90</v>
      </c>
      <c r="B101" s="47">
        <v>139</v>
      </c>
      <c r="C101" s="121" t="str">
        <f t="shared" si="18"/>
        <v>*POL19980719</v>
      </c>
      <c r="D101" s="122" t="str">
        <f t="shared" si="19"/>
        <v>NOWAK Michał</v>
      </c>
      <c r="E101" s="123" t="str">
        <f t="shared" si="20"/>
        <v>MIX5 - DSR AUTHOR GÓRNIK WAŁBRZYCH</v>
      </c>
      <c r="F101" s="124" t="str">
        <f t="shared" si="21"/>
        <v>DLS196</v>
      </c>
      <c r="G101" s="125" t="str">
        <f t="shared" si="22"/>
        <v>JUNIOR *</v>
      </c>
      <c r="H101" s="125" t="str">
        <f t="shared" si="23"/>
        <v>SGT</v>
      </c>
      <c r="I101" s="164">
        <f t="shared" si="24"/>
        <v>8.2048611111111114E-2</v>
      </c>
      <c r="J101" s="70">
        <f t="shared" si="25"/>
        <v>3.9120370370370333E-3</v>
      </c>
      <c r="K101" s="70"/>
      <c r="M101" s="127">
        <f t="shared" si="26"/>
        <v>90</v>
      </c>
      <c r="P101" s="165">
        <v>90</v>
      </c>
      <c r="Q101" s="166">
        <v>139</v>
      </c>
      <c r="R101" s="167">
        <v>8.2048611111111114E-2</v>
      </c>
      <c r="S101" s="168">
        <v>0</v>
      </c>
      <c r="T101" s="169"/>
      <c r="U101" s="170"/>
      <c r="V101" s="171"/>
      <c r="W101" s="172"/>
      <c r="X101" s="165"/>
      <c r="Y101" s="166"/>
      <c r="Z101" s="167"/>
      <c r="AA101" s="168"/>
      <c r="AB101" s="169"/>
      <c r="AC101" s="170"/>
      <c r="AD101" s="173"/>
      <c r="AE101" s="172"/>
      <c r="AF101" s="168"/>
      <c r="AG101" s="71"/>
    </row>
    <row r="102" spans="1:33" s="127" customFormat="1" ht="14.55" customHeight="1" x14ac:dyDescent="0.25">
      <c r="A102" s="45">
        <v>91</v>
      </c>
      <c r="B102" s="47">
        <v>59</v>
      </c>
      <c r="C102" s="121" t="str">
        <f t="shared" si="18"/>
        <v>POL19971003</v>
      </c>
      <c r="D102" s="122" t="str">
        <f t="shared" si="19"/>
        <v>INDEKA Kamil</v>
      </c>
      <c r="E102" s="123" t="str">
        <f t="shared" si="20"/>
        <v xml:space="preserve">MIX1 - GRUPA KOLARSKA GLIWICE </v>
      </c>
      <c r="F102" s="124" t="str">
        <f t="shared" si="21"/>
        <v>SLA643</v>
      </c>
      <c r="G102" s="125" t="str">
        <f t="shared" si="22"/>
        <v xml:space="preserve">JUNIOR </v>
      </c>
      <c r="H102" s="125" t="str">
        <f t="shared" si="23"/>
        <v>SLZ</v>
      </c>
      <c r="I102" s="164">
        <f t="shared" si="24"/>
        <v>8.2048611111111114E-2</v>
      </c>
      <c r="J102" s="70">
        <f t="shared" si="25"/>
        <v>3.9120370370370333E-3</v>
      </c>
      <c r="K102" s="70"/>
      <c r="M102" s="127">
        <f t="shared" si="26"/>
        <v>91</v>
      </c>
      <c r="P102" s="165">
        <v>91</v>
      </c>
      <c r="Q102" s="166">
        <v>59</v>
      </c>
      <c r="R102" s="167">
        <v>8.2048611111111114E-2</v>
      </c>
      <c r="S102" s="168">
        <v>0</v>
      </c>
      <c r="T102" s="169"/>
      <c r="U102" s="170"/>
      <c r="V102" s="171"/>
      <c r="W102" s="172"/>
      <c r="X102" s="165"/>
      <c r="Y102" s="166"/>
      <c r="Z102" s="167"/>
      <c r="AA102" s="168"/>
      <c r="AB102" s="169"/>
      <c r="AC102" s="170"/>
      <c r="AD102" s="173"/>
      <c r="AE102" s="172"/>
      <c r="AF102" s="168"/>
      <c r="AG102" s="71"/>
    </row>
    <row r="103" spans="1:33" s="127" customFormat="1" ht="14.55" customHeight="1" x14ac:dyDescent="0.25">
      <c r="A103" s="45">
        <v>92</v>
      </c>
      <c r="B103" s="47">
        <v>23</v>
      </c>
      <c r="C103" s="121" t="str">
        <f t="shared" si="18"/>
        <v>CZE19990521*</v>
      </c>
      <c r="D103" s="122" t="str">
        <f t="shared" si="19"/>
        <v xml:space="preserve">CINK Jan </v>
      </c>
      <c r="E103" s="123" t="str">
        <f t="shared" si="20"/>
        <v xml:space="preserve">MAPEI MERIDA KAŇKOVSKÝ </v>
      </c>
      <c r="F103" s="124">
        <f t="shared" si="21"/>
        <v>5465</v>
      </c>
      <c r="G103" s="125" t="str">
        <f t="shared" si="22"/>
        <v>CADET</v>
      </c>
      <c r="H103" s="125" t="str">
        <f t="shared" si="23"/>
        <v>MAP</v>
      </c>
      <c r="I103" s="164">
        <f t="shared" si="24"/>
        <v>8.2812499999999997E-2</v>
      </c>
      <c r="J103" s="70">
        <f t="shared" si="25"/>
        <v>4.6759259259259167E-3</v>
      </c>
      <c r="K103" s="70"/>
      <c r="M103" s="127">
        <f t="shared" si="26"/>
        <v>92</v>
      </c>
      <c r="P103" s="165">
        <v>92</v>
      </c>
      <c r="Q103" s="166">
        <v>23</v>
      </c>
      <c r="R103" s="167">
        <v>8.2812499999999997E-2</v>
      </c>
      <c r="S103" s="168">
        <v>0</v>
      </c>
      <c r="T103" s="169"/>
      <c r="U103" s="170"/>
      <c r="V103" s="171"/>
      <c r="W103" s="172"/>
      <c r="X103" s="165"/>
      <c r="Y103" s="166"/>
      <c r="Z103" s="167"/>
      <c r="AA103" s="168"/>
      <c r="AB103" s="169"/>
      <c r="AC103" s="170"/>
      <c r="AD103" s="173"/>
      <c r="AE103" s="172"/>
      <c r="AF103" s="168"/>
      <c r="AG103" s="71"/>
    </row>
    <row r="104" spans="1:33" s="127" customFormat="1" ht="14.55" customHeight="1" x14ac:dyDescent="0.25">
      <c r="A104" s="45">
        <v>93</v>
      </c>
      <c r="B104" s="47">
        <v>44</v>
      </c>
      <c r="C104" s="121" t="str">
        <f t="shared" si="18"/>
        <v>CZE19970417</v>
      </c>
      <c r="D104" s="122" t="str">
        <f t="shared" si="19"/>
        <v xml:space="preserve">KUBEŠ Martin </v>
      </c>
      <c r="E104" s="123" t="str">
        <f t="shared" si="20"/>
        <v xml:space="preserve">SKC TUFO PROSTĚJOV </v>
      </c>
      <c r="F104" s="124">
        <f t="shared" si="21"/>
        <v>13287</v>
      </c>
      <c r="G104" s="125" t="str">
        <f t="shared" si="22"/>
        <v xml:space="preserve">JUNIOR </v>
      </c>
      <c r="H104" s="125" t="str">
        <f t="shared" si="23"/>
        <v>STP</v>
      </c>
      <c r="I104" s="164">
        <f t="shared" si="24"/>
        <v>8.2812499999999997E-2</v>
      </c>
      <c r="J104" s="70">
        <f t="shared" si="25"/>
        <v>4.6759259259259167E-3</v>
      </c>
      <c r="K104" s="70"/>
      <c r="M104" s="127">
        <f t="shared" si="26"/>
        <v>93</v>
      </c>
      <c r="P104" s="165">
        <v>93</v>
      </c>
      <c r="Q104" s="166">
        <v>44</v>
      </c>
      <c r="R104" s="167">
        <v>8.2812499999999997E-2</v>
      </c>
      <c r="S104" s="168">
        <v>0</v>
      </c>
      <c r="T104" s="169"/>
      <c r="U104" s="170"/>
      <c r="V104" s="171"/>
      <c r="W104" s="172"/>
      <c r="X104" s="165"/>
      <c r="Y104" s="166"/>
      <c r="Z104" s="167"/>
      <c r="AA104" s="168"/>
      <c r="AB104" s="169"/>
      <c r="AC104" s="170"/>
      <c r="AD104" s="173"/>
      <c r="AE104" s="172"/>
      <c r="AF104" s="168"/>
      <c r="AG104" s="71"/>
    </row>
    <row r="105" spans="1:33" s="127" customFormat="1" ht="14.55" customHeight="1" x14ac:dyDescent="0.25">
      <c r="A105" s="45">
        <v>94</v>
      </c>
      <c r="B105" s="47">
        <v>121</v>
      </c>
      <c r="C105" s="121" t="str">
        <f t="shared" si="18"/>
        <v>CZE19990209*</v>
      </c>
      <c r="D105" s="122" t="str">
        <f t="shared" si="19"/>
        <v xml:space="preserve">HONZÁK David </v>
      </c>
      <c r="E105" s="123" t="str">
        <f t="shared" si="20"/>
        <v>MIX4 - KC KOOPERATIVA SG JABLONEC N.N</v>
      </c>
      <c r="F105" s="124">
        <f t="shared" si="21"/>
        <v>14334</v>
      </c>
      <c r="G105" s="125" t="str">
        <f t="shared" si="22"/>
        <v>CADET</v>
      </c>
      <c r="H105" s="125" t="str">
        <f t="shared" si="23"/>
        <v>KOO</v>
      </c>
      <c r="I105" s="164">
        <f t="shared" si="24"/>
        <v>8.2812499999999997E-2</v>
      </c>
      <c r="J105" s="70">
        <f t="shared" si="25"/>
        <v>4.6759259259259167E-3</v>
      </c>
      <c r="K105" s="70"/>
      <c r="M105" s="127">
        <f t="shared" si="26"/>
        <v>94</v>
      </c>
      <c r="P105" s="165">
        <v>94</v>
      </c>
      <c r="Q105" s="166">
        <v>121</v>
      </c>
      <c r="R105" s="167">
        <v>8.2812499999999997E-2</v>
      </c>
      <c r="S105" s="168">
        <v>0</v>
      </c>
      <c r="T105" s="169"/>
      <c r="U105" s="170"/>
      <c r="V105" s="171"/>
      <c r="W105" s="172"/>
      <c r="X105" s="165"/>
      <c r="Y105" s="166"/>
      <c r="Z105" s="167"/>
      <c r="AA105" s="168"/>
      <c r="AB105" s="169"/>
      <c r="AC105" s="170"/>
      <c r="AD105" s="173"/>
      <c r="AE105" s="172"/>
      <c r="AF105" s="168"/>
      <c r="AG105" s="71"/>
    </row>
    <row r="106" spans="1:33" s="127" customFormat="1" ht="14.55" customHeight="1" x14ac:dyDescent="0.25">
      <c r="A106" s="45">
        <v>95</v>
      </c>
      <c r="B106" s="47">
        <v>105</v>
      </c>
      <c r="C106" s="121" t="str">
        <f t="shared" si="18"/>
        <v>*SVK19980903</v>
      </c>
      <c r="D106" s="122" t="str">
        <f t="shared" si="19"/>
        <v>VOJTEK Miloš</v>
      </c>
      <c r="E106" s="123" t="str">
        <f t="shared" si="20"/>
        <v>SLOVAK CYCLING FEDERATION</v>
      </c>
      <c r="F106" s="124" t="str">
        <f t="shared" si="21"/>
        <v>S 7223</v>
      </c>
      <c r="G106" s="125" t="str">
        <f t="shared" si="22"/>
        <v>JUNIOR *</v>
      </c>
      <c r="H106" s="125" t="str">
        <f t="shared" si="23"/>
        <v>SVK</v>
      </c>
      <c r="I106" s="164">
        <f t="shared" si="24"/>
        <v>8.2835648148148144E-2</v>
      </c>
      <c r="J106" s="70">
        <f t="shared" si="25"/>
        <v>4.6990740740740639E-3</v>
      </c>
      <c r="K106" s="70"/>
      <c r="M106" s="127">
        <f t="shared" si="26"/>
        <v>95</v>
      </c>
      <c r="P106" s="165">
        <v>95</v>
      </c>
      <c r="Q106" s="166">
        <v>105</v>
      </c>
      <c r="R106" s="167">
        <v>8.2835648148148144E-2</v>
      </c>
      <c r="S106" s="168">
        <v>0</v>
      </c>
      <c r="T106" s="169"/>
      <c r="U106" s="170"/>
      <c r="V106" s="171"/>
      <c r="W106" s="172"/>
      <c r="X106" s="165"/>
      <c r="Y106" s="166"/>
      <c r="Z106" s="167"/>
      <c r="AA106" s="168"/>
      <c r="AB106" s="169"/>
      <c r="AC106" s="170"/>
      <c r="AD106" s="173"/>
      <c r="AE106" s="172"/>
      <c r="AF106" s="168"/>
      <c r="AG106" s="71"/>
    </row>
    <row r="107" spans="1:33" s="127" customFormat="1" ht="14.55" customHeight="1" x14ac:dyDescent="0.25">
      <c r="A107" s="45">
        <v>96</v>
      </c>
      <c r="B107" s="47">
        <v>151</v>
      </c>
      <c r="C107" s="121" t="str">
        <f t="shared" si="18"/>
        <v>POL19990406*</v>
      </c>
      <c r="D107" s="122" t="str">
        <f t="shared" si="19"/>
        <v>MANOWSKI Mateusz</v>
      </c>
      <c r="E107" s="123" t="str">
        <f t="shared" si="20"/>
        <v>MIX7 - DOBRE SKLEPY ROWEROWE AUTHOR PSZCZYNA</v>
      </c>
      <c r="F107" s="124" t="str">
        <f t="shared" si="21"/>
        <v>SLA451</v>
      </c>
      <c r="G107" s="125" t="str">
        <f t="shared" si="22"/>
        <v>CADET</v>
      </c>
      <c r="H107" s="125" t="str">
        <f t="shared" si="23"/>
        <v>RLM</v>
      </c>
      <c r="I107" s="164">
        <f t="shared" si="24"/>
        <v>8.4247685185185175E-2</v>
      </c>
      <c r="J107" s="70">
        <f t="shared" si="25"/>
        <v>6.111111111111095E-3</v>
      </c>
      <c r="K107" s="70"/>
      <c r="M107" s="127">
        <f t="shared" si="26"/>
        <v>96</v>
      </c>
      <c r="P107" s="165">
        <v>96</v>
      </c>
      <c r="Q107" s="166">
        <v>151</v>
      </c>
      <c r="R107" s="167">
        <v>8.4247685185185175E-2</v>
      </c>
      <c r="S107" s="168">
        <v>0</v>
      </c>
      <c r="T107" s="169"/>
      <c r="U107" s="170"/>
      <c r="V107" s="171"/>
      <c r="W107" s="172"/>
      <c r="X107" s="165"/>
      <c r="Y107" s="166"/>
      <c r="Z107" s="167"/>
      <c r="AA107" s="168"/>
      <c r="AB107" s="169"/>
      <c r="AC107" s="170"/>
      <c r="AD107" s="173"/>
      <c r="AE107" s="172"/>
      <c r="AF107" s="168"/>
      <c r="AG107" s="71"/>
    </row>
    <row r="108" spans="1:33" s="127" customFormat="1" ht="14.55" customHeight="1" x14ac:dyDescent="0.25">
      <c r="A108" s="45">
        <v>97</v>
      </c>
      <c r="B108" s="47">
        <v>145</v>
      </c>
      <c r="C108" s="121" t="str">
        <f t="shared" ref="C108:C139" si="27">VLOOKUP(B108,STARTOVKA,2,0)</f>
        <v>*CZE19980313</v>
      </c>
      <c r="D108" s="122" t="str">
        <f t="shared" ref="D108:D139" si="28">VLOOKUP(B108,STARTOVKA,3,0)</f>
        <v xml:space="preserve">CIHLÁŘ Adam </v>
      </c>
      <c r="E108" s="123" t="str">
        <f t="shared" ref="E108:E139" si="29">VLOOKUP(B108,STARTOVKA,4,0)</f>
        <v xml:space="preserve">MIX6 - TJ FAVORIT BRNO </v>
      </c>
      <c r="F108" s="124">
        <f t="shared" ref="F108:F139" si="30">VLOOKUP(B108,STARTOVKA,5,0)</f>
        <v>20840</v>
      </c>
      <c r="G108" s="125" t="str">
        <f t="shared" ref="G108:G139" si="31">VLOOKUP(B108,STARTOVKA,6,0)</f>
        <v>JUNIOR *</v>
      </c>
      <c r="H108" s="125" t="str">
        <f t="shared" ref="H108:H139" si="32">VLOOKUP(B108,STARTOVKA,7,0)</f>
        <v>FAV</v>
      </c>
      <c r="I108" s="164">
        <f t="shared" ref="I108:I139" si="33">SUM(R108,V108,Z108,AD108)-SUM(S108,W108,AA108,AE108)+AF108</f>
        <v>8.4247685185185175E-2</v>
      </c>
      <c r="J108" s="70">
        <f t="shared" ref="J108:J139" si="34">I108-$I$12</f>
        <v>6.111111111111095E-3</v>
      </c>
      <c r="K108" s="70"/>
      <c r="M108" s="127">
        <f t="shared" ref="M108:M139" si="35">A108</f>
        <v>97</v>
      </c>
      <c r="P108" s="165">
        <v>97</v>
      </c>
      <c r="Q108" s="166">
        <v>145</v>
      </c>
      <c r="R108" s="167">
        <v>8.4247685185185175E-2</v>
      </c>
      <c r="S108" s="168">
        <v>0</v>
      </c>
      <c r="T108" s="169"/>
      <c r="U108" s="170"/>
      <c r="V108" s="171"/>
      <c r="W108" s="172"/>
      <c r="X108" s="165"/>
      <c r="Y108" s="166"/>
      <c r="Z108" s="167"/>
      <c r="AA108" s="168"/>
      <c r="AB108" s="169"/>
      <c r="AC108" s="170"/>
      <c r="AD108" s="173"/>
      <c r="AE108" s="172"/>
      <c r="AF108" s="168"/>
      <c r="AG108" s="71"/>
    </row>
    <row r="109" spans="1:33" s="127" customFormat="1" ht="14.55" customHeight="1" x14ac:dyDescent="0.25">
      <c r="A109" s="45">
        <v>98</v>
      </c>
      <c r="B109" s="47">
        <v>143</v>
      </c>
      <c r="C109" s="121" t="str">
        <f t="shared" si="27"/>
        <v>SVK19990903*</v>
      </c>
      <c r="D109" s="122" t="str">
        <f t="shared" si="28"/>
        <v>JANUŠ Pavol</v>
      </c>
      <c r="E109" s="123" t="str">
        <f t="shared" si="29"/>
        <v>MIX6 - CYKLISTICKÝ SPOLOK ŽILINA</v>
      </c>
      <c r="F109" s="124" t="str">
        <f t="shared" si="30"/>
        <v>S 7460</v>
      </c>
      <c r="G109" s="125" t="str">
        <f t="shared" si="31"/>
        <v>CADET</v>
      </c>
      <c r="H109" s="125" t="str">
        <f t="shared" si="32"/>
        <v>FAV</v>
      </c>
      <c r="I109" s="164">
        <f t="shared" si="33"/>
        <v>8.4247685185185175E-2</v>
      </c>
      <c r="J109" s="70">
        <f t="shared" si="34"/>
        <v>6.111111111111095E-3</v>
      </c>
      <c r="K109" s="70"/>
      <c r="M109" s="127">
        <f t="shared" si="35"/>
        <v>98</v>
      </c>
      <c r="P109" s="165">
        <v>98</v>
      </c>
      <c r="Q109" s="166">
        <v>143</v>
      </c>
      <c r="R109" s="167">
        <v>8.4247685185185175E-2</v>
      </c>
      <c r="S109" s="168">
        <v>0</v>
      </c>
      <c r="T109" s="169"/>
      <c r="U109" s="170"/>
      <c r="V109" s="171"/>
      <c r="W109" s="172"/>
      <c r="X109" s="165"/>
      <c r="Y109" s="166"/>
      <c r="Z109" s="167"/>
      <c r="AA109" s="168"/>
      <c r="AB109" s="169"/>
      <c r="AC109" s="170"/>
      <c r="AD109" s="173"/>
      <c r="AE109" s="172"/>
      <c r="AF109" s="168"/>
      <c r="AG109" s="71"/>
    </row>
    <row r="110" spans="1:33" s="127" customFormat="1" ht="14.55" customHeight="1" x14ac:dyDescent="0.25">
      <c r="A110" s="45">
        <v>99</v>
      </c>
      <c r="B110" s="47">
        <v>148</v>
      </c>
      <c r="C110" s="121" t="str">
        <f t="shared" si="27"/>
        <v>CZE19970409</v>
      </c>
      <c r="D110" s="122" t="str">
        <f t="shared" si="28"/>
        <v xml:space="preserve">POTŮČEK Šimon </v>
      </c>
      <c r="E110" s="123" t="str">
        <f t="shared" si="29"/>
        <v xml:space="preserve">MIX6 - TJ FAVORIT BRNO </v>
      </c>
      <c r="F110" s="124">
        <f t="shared" si="30"/>
        <v>20675</v>
      </c>
      <c r="G110" s="125" t="str">
        <f t="shared" si="31"/>
        <v xml:space="preserve">JUNIOR </v>
      </c>
      <c r="H110" s="125" t="str">
        <f t="shared" si="32"/>
        <v>FAV</v>
      </c>
      <c r="I110" s="164">
        <f t="shared" si="33"/>
        <v>8.4247685185185175E-2</v>
      </c>
      <c r="J110" s="70">
        <f t="shared" si="34"/>
        <v>6.111111111111095E-3</v>
      </c>
      <c r="K110" s="70"/>
      <c r="M110" s="127">
        <f t="shared" si="35"/>
        <v>99</v>
      </c>
      <c r="P110" s="165">
        <v>99</v>
      </c>
      <c r="Q110" s="166">
        <v>148</v>
      </c>
      <c r="R110" s="167">
        <v>8.4247685185185175E-2</v>
      </c>
      <c r="S110" s="168">
        <v>0</v>
      </c>
      <c r="T110" s="169"/>
      <c r="U110" s="170"/>
      <c r="V110" s="171"/>
      <c r="W110" s="172"/>
      <c r="X110" s="165"/>
      <c r="Y110" s="166"/>
      <c r="Z110" s="167"/>
      <c r="AA110" s="168"/>
      <c r="AB110" s="169"/>
      <c r="AC110" s="170"/>
      <c r="AD110" s="173"/>
      <c r="AE110" s="172"/>
      <c r="AF110" s="168"/>
      <c r="AG110" s="71"/>
    </row>
    <row r="111" spans="1:33" s="127" customFormat="1" ht="14.55" customHeight="1" x14ac:dyDescent="0.25">
      <c r="A111" s="45">
        <v>100</v>
      </c>
      <c r="B111" s="47">
        <v>152</v>
      </c>
      <c r="C111" s="121" t="str">
        <f t="shared" si="27"/>
        <v>POL20000206*</v>
      </c>
      <c r="D111" s="122" t="str">
        <f t="shared" si="28"/>
        <v>WENGLORZ Michał</v>
      </c>
      <c r="E111" s="123" t="str">
        <f t="shared" si="29"/>
        <v>MIX7 - DOBRE SKLEPY ROWEROWE AUTHOR PSZCZYNA</v>
      </c>
      <c r="F111" s="124" t="str">
        <f t="shared" si="30"/>
        <v>SLA458</v>
      </c>
      <c r="G111" s="125" t="str">
        <f t="shared" si="31"/>
        <v>CADET</v>
      </c>
      <c r="H111" s="125" t="str">
        <f t="shared" si="32"/>
        <v>RLM</v>
      </c>
      <c r="I111" s="164">
        <f t="shared" si="33"/>
        <v>8.4247685185185175E-2</v>
      </c>
      <c r="J111" s="70">
        <f t="shared" si="34"/>
        <v>6.111111111111095E-3</v>
      </c>
      <c r="K111" s="70"/>
      <c r="M111" s="127">
        <f t="shared" si="35"/>
        <v>100</v>
      </c>
      <c r="P111" s="165">
        <v>100</v>
      </c>
      <c r="Q111" s="166">
        <v>152</v>
      </c>
      <c r="R111" s="167">
        <v>8.4247685185185175E-2</v>
      </c>
      <c r="S111" s="168">
        <v>0</v>
      </c>
      <c r="T111" s="169"/>
      <c r="U111" s="170"/>
      <c r="V111" s="171"/>
      <c r="W111" s="172"/>
      <c r="X111" s="165"/>
      <c r="Y111" s="166"/>
      <c r="Z111" s="167"/>
      <c r="AA111" s="168"/>
      <c r="AB111" s="169"/>
      <c r="AC111" s="170"/>
      <c r="AD111" s="173"/>
      <c r="AE111" s="172"/>
      <c r="AF111" s="168"/>
      <c r="AG111" s="71"/>
    </row>
    <row r="112" spans="1:33" s="127" customFormat="1" ht="14.55" customHeight="1" x14ac:dyDescent="0.25">
      <c r="A112" s="45">
        <v>101</v>
      </c>
      <c r="B112" s="47">
        <v>167</v>
      </c>
      <c r="C112" s="121" t="str">
        <f t="shared" si="27"/>
        <v>AUT19970406</v>
      </c>
      <c r="D112" s="122" t="str">
        <f t="shared" si="28"/>
        <v>WINTER Stefan</v>
      </c>
      <c r="E112" s="123" t="str">
        <f t="shared" si="29"/>
        <v>LRV STEIERMARK</v>
      </c>
      <c r="F112" s="124">
        <f t="shared" si="30"/>
        <v>100677</v>
      </c>
      <c r="G112" s="125" t="str">
        <f t="shared" si="31"/>
        <v xml:space="preserve">JUNIOR </v>
      </c>
      <c r="H112" s="125" t="str">
        <f t="shared" si="32"/>
        <v>LRS</v>
      </c>
      <c r="I112" s="164">
        <f t="shared" si="33"/>
        <v>8.4537037037037036E-2</v>
      </c>
      <c r="J112" s="70">
        <f t="shared" si="34"/>
        <v>6.400462962962955E-3</v>
      </c>
      <c r="K112" s="70"/>
      <c r="M112" s="127">
        <f t="shared" si="35"/>
        <v>101</v>
      </c>
      <c r="P112" s="165">
        <v>101</v>
      </c>
      <c r="Q112" s="166">
        <v>167</v>
      </c>
      <c r="R112" s="167">
        <v>8.4537037037037036E-2</v>
      </c>
      <c r="S112" s="168">
        <v>0</v>
      </c>
      <c r="T112" s="169"/>
      <c r="U112" s="170"/>
      <c r="V112" s="171"/>
      <c r="W112" s="172"/>
      <c r="X112" s="165"/>
      <c r="Y112" s="166"/>
      <c r="Z112" s="167"/>
      <c r="AA112" s="168"/>
      <c r="AB112" s="169"/>
      <c r="AC112" s="170"/>
      <c r="AD112" s="173"/>
      <c r="AE112" s="172"/>
      <c r="AF112" s="168"/>
      <c r="AG112" s="71"/>
    </row>
    <row r="113" spans="1:33" s="127" customFormat="1" ht="14.55" customHeight="1" x14ac:dyDescent="0.25">
      <c r="A113" s="45">
        <v>102</v>
      </c>
      <c r="B113" s="47">
        <v>154</v>
      </c>
      <c r="C113" s="121" t="str">
        <f t="shared" si="27"/>
        <v>*AUT19980711</v>
      </c>
      <c r="D113" s="122" t="str">
        <f t="shared" si="28"/>
        <v>EDELBAUER Tobias</v>
      </c>
      <c r="E113" s="123" t="str">
        <f t="shared" si="29"/>
        <v>MIX7 - RLM WIEN (RADLEISTUNGSMODELL WIEN)</v>
      </c>
      <c r="F113" s="124">
        <f t="shared" si="30"/>
        <v>100225</v>
      </c>
      <c r="G113" s="125" t="str">
        <f t="shared" si="31"/>
        <v>JUNIOR *</v>
      </c>
      <c r="H113" s="125" t="str">
        <f t="shared" si="32"/>
        <v>RLM</v>
      </c>
      <c r="I113" s="164">
        <f t="shared" si="33"/>
        <v>8.4537037037037036E-2</v>
      </c>
      <c r="J113" s="70">
        <f t="shared" si="34"/>
        <v>6.400462962962955E-3</v>
      </c>
      <c r="K113" s="70"/>
      <c r="M113" s="127">
        <f t="shared" si="35"/>
        <v>102</v>
      </c>
      <c r="P113" s="165">
        <v>102</v>
      </c>
      <c r="Q113" s="166">
        <v>154</v>
      </c>
      <c r="R113" s="167">
        <v>8.4537037037037036E-2</v>
      </c>
      <c r="S113" s="168">
        <v>0</v>
      </c>
      <c r="T113" s="169"/>
      <c r="U113" s="170"/>
      <c r="V113" s="171"/>
      <c r="W113" s="172"/>
      <c r="X113" s="165"/>
      <c r="Y113" s="166"/>
      <c r="Z113" s="167"/>
      <c r="AA113" s="168"/>
      <c r="AB113" s="169"/>
      <c r="AC113" s="170"/>
      <c r="AD113" s="173"/>
      <c r="AE113" s="172"/>
      <c r="AF113" s="168"/>
      <c r="AG113" s="71"/>
    </row>
    <row r="114" spans="1:33" s="127" customFormat="1" ht="14.55" customHeight="1" x14ac:dyDescent="0.25">
      <c r="A114" s="45">
        <v>103</v>
      </c>
      <c r="B114" s="47">
        <v>77</v>
      </c>
      <c r="C114" s="121" t="str">
        <f t="shared" si="27"/>
        <v>BEL19970116</v>
      </c>
      <c r="D114" s="122" t="str">
        <f t="shared" si="28"/>
        <v>PENNINCK Jens</v>
      </c>
      <c r="E114" s="123" t="str">
        <f t="shared" si="29"/>
        <v>MIX2  - WZW TIELTSE RENNERSCLUB</v>
      </c>
      <c r="F114" s="124">
        <f t="shared" si="30"/>
        <v>56927</v>
      </c>
      <c r="G114" s="125" t="str">
        <f t="shared" si="31"/>
        <v xml:space="preserve">JUNIOR </v>
      </c>
      <c r="H114" s="125" t="str">
        <f t="shared" si="32"/>
        <v>KOV</v>
      </c>
      <c r="I114" s="164">
        <f t="shared" si="33"/>
        <v>8.5104166666666661E-2</v>
      </c>
      <c r="J114" s="70">
        <f t="shared" si="34"/>
        <v>6.9675925925925808E-3</v>
      </c>
      <c r="K114" s="70"/>
      <c r="M114" s="127">
        <f t="shared" si="35"/>
        <v>103</v>
      </c>
      <c r="P114" s="165">
        <v>103</v>
      </c>
      <c r="Q114" s="166">
        <v>77</v>
      </c>
      <c r="R114" s="167">
        <v>8.5104166666666661E-2</v>
      </c>
      <c r="S114" s="168">
        <v>0</v>
      </c>
      <c r="T114" s="169"/>
      <c r="U114" s="170"/>
      <c r="V114" s="171"/>
      <c r="W114" s="172"/>
      <c r="X114" s="165"/>
      <c r="Y114" s="166"/>
      <c r="Z114" s="167"/>
      <c r="AA114" s="168"/>
      <c r="AB114" s="169"/>
      <c r="AC114" s="170"/>
      <c r="AD114" s="173"/>
      <c r="AE114" s="172"/>
      <c r="AF114" s="168"/>
      <c r="AG114" s="71"/>
    </row>
    <row r="115" spans="1:33" s="127" customFormat="1" ht="14.55" customHeight="1" x14ac:dyDescent="0.25">
      <c r="A115" s="45">
        <v>104</v>
      </c>
      <c r="B115" s="47">
        <v>155</v>
      </c>
      <c r="C115" s="121" t="str">
        <f t="shared" si="27"/>
        <v>AUT19971224</v>
      </c>
      <c r="D115" s="122" t="str">
        <f t="shared" si="28"/>
        <v>GRASL Patrick</v>
      </c>
      <c r="E115" s="123" t="str">
        <f t="shared" si="29"/>
        <v>MIX7 - RLM WIEN (RADLEISTUNGSMODELL WIEN)</v>
      </c>
      <c r="F115" s="124">
        <f t="shared" si="30"/>
        <v>100040</v>
      </c>
      <c r="G115" s="125" t="str">
        <f t="shared" si="31"/>
        <v xml:space="preserve">JUNIOR </v>
      </c>
      <c r="H115" s="125" t="str">
        <f t="shared" si="32"/>
        <v>RLM</v>
      </c>
      <c r="I115" s="164">
        <f t="shared" si="33"/>
        <v>8.519675925925925E-2</v>
      </c>
      <c r="J115" s="70">
        <f t="shared" si="34"/>
        <v>7.0601851851851694E-3</v>
      </c>
      <c r="K115" s="70"/>
      <c r="M115" s="127">
        <f t="shared" si="35"/>
        <v>104</v>
      </c>
      <c r="P115" s="165">
        <v>104</v>
      </c>
      <c r="Q115" s="166">
        <v>155</v>
      </c>
      <c r="R115" s="167">
        <v>8.519675925925925E-2</v>
      </c>
      <c r="S115" s="168">
        <v>0</v>
      </c>
      <c r="T115" s="169"/>
      <c r="U115" s="170"/>
      <c r="V115" s="171"/>
      <c r="W115" s="172"/>
      <c r="X115" s="165"/>
      <c r="Y115" s="166"/>
      <c r="Z115" s="167"/>
      <c r="AA115" s="168"/>
      <c r="AB115" s="169"/>
      <c r="AC115" s="170"/>
      <c r="AD115" s="173"/>
      <c r="AE115" s="172"/>
      <c r="AF115" s="168"/>
      <c r="AG115" s="71"/>
    </row>
    <row r="116" spans="1:33" s="127" customFormat="1" ht="14.55" customHeight="1" x14ac:dyDescent="0.25">
      <c r="A116" s="45">
        <v>105</v>
      </c>
      <c r="B116" s="47">
        <v>153</v>
      </c>
      <c r="C116" s="121" t="str">
        <f t="shared" si="27"/>
        <v>AUT19971210</v>
      </c>
      <c r="D116" s="122" t="str">
        <f t="shared" si="28"/>
        <v>APPELTAUER Samuel</v>
      </c>
      <c r="E116" s="123" t="str">
        <f t="shared" si="29"/>
        <v>MIX7 - RLM WIEN (RADLEISTUNGSMODELL WIEN)</v>
      </c>
      <c r="F116" s="124">
        <f t="shared" si="30"/>
        <v>100027</v>
      </c>
      <c r="G116" s="125" t="str">
        <f t="shared" si="31"/>
        <v xml:space="preserve">JUNIOR </v>
      </c>
      <c r="H116" s="125" t="str">
        <f t="shared" si="32"/>
        <v>RLM</v>
      </c>
      <c r="I116" s="164">
        <f t="shared" si="33"/>
        <v>8.6249999999999993E-2</v>
      </c>
      <c r="J116" s="70">
        <f t="shared" si="34"/>
        <v>8.1134259259259128E-3</v>
      </c>
      <c r="K116" s="70"/>
      <c r="M116" s="127">
        <f t="shared" si="35"/>
        <v>105</v>
      </c>
      <c r="P116" s="165">
        <v>105</v>
      </c>
      <c r="Q116" s="166">
        <v>153</v>
      </c>
      <c r="R116" s="167">
        <v>8.6249999999999993E-2</v>
      </c>
      <c r="S116" s="168">
        <v>0</v>
      </c>
      <c r="T116" s="169"/>
      <c r="U116" s="170"/>
      <c r="V116" s="171"/>
      <c r="W116" s="172"/>
      <c r="X116" s="165"/>
      <c r="Y116" s="166"/>
      <c r="Z116" s="167"/>
      <c r="AA116" s="168"/>
      <c r="AB116" s="169"/>
      <c r="AC116" s="170"/>
      <c r="AD116" s="173"/>
      <c r="AE116" s="172"/>
      <c r="AF116" s="168"/>
      <c r="AG116" s="71"/>
    </row>
    <row r="117" spans="1:33" s="127" customFormat="1" ht="14.55" customHeight="1" x14ac:dyDescent="0.25">
      <c r="A117" s="45">
        <v>106</v>
      </c>
      <c r="B117" s="47">
        <v>1</v>
      </c>
      <c r="C117" s="121" t="str">
        <f t="shared" si="27"/>
        <v>*GER19981124</v>
      </c>
      <c r="D117" s="122" t="str">
        <f t="shared" si="28"/>
        <v>AMBROSIUS Carlos</v>
      </c>
      <c r="E117" s="123" t="str">
        <f t="shared" si="29"/>
        <v>RSC COTTBUS</v>
      </c>
      <c r="F117" s="124" t="str">
        <f t="shared" si="30"/>
        <v>BRA043963</v>
      </c>
      <c r="G117" s="125" t="str">
        <f t="shared" si="31"/>
        <v>JUNIOR *</v>
      </c>
      <c r="H117" s="125" t="str">
        <f t="shared" si="32"/>
        <v>COT</v>
      </c>
      <c r="I117" s="164">
        <f t="shared" si="33"/>
        <v>8.7592592592592597E-2</v>
      </c>
      <c r="J117" s="70">
        <f t="shared" si="34"/>
        <v>9.4560185185185164E-3</v>
      </c>
      <c r="K117" s="70"/>
      <c r="M117" s="127">
        <f t="shared" si="35"/>
        <v>106</v>
      </c>
      <c r="P117" s="165">
        <v>106</v>
      </c>
      <c r="Q117" s="166">
        <v>1</v>
      </c>
      <c r="R117" s="167">
        <v>8.7592592592592597E-2</v>
      </c>
      <c r="S117" s="168">
        <v>0</v>
      </c>
      <c r="T117" s="169"/>
      <c r="U117" s="170"/>
      <c r="V117" s="171"/>
      <c r="W117" s="172"/>
      <c r="X117" s="165"/>
      <c r="Y117" s="166"/>
      <c r="Z117" s="167"/>
      <c r="AA117" s="168"/>
      <c r="AB117" s="169"/>
      <c r="AC117" s="170"/>
      <c r="AD117" s="173"/>
      <c r="AE117" s="172"/>
      <c r="AF117" s="168"/>
      <c r="AG117" s="71"/>
    </row>
    <row r="118" spans="1:33" s="127" customFormat="1" ht="14.55" customHeight="1" x14ac:dyDescent="0.25">
      <c r="A118" s="45">
        <v>107</v>
      </c>
      <c r="B118" s="47">
        <v>20</v>
      </c>
      <c r="C118" s="121" t="str">
        <f t="shared" si="27"/>
        <v>GER19990514*</v>
      </c>
      <c r="D118" s="122" t="str">
        <f t="shared" si="28"/>
        <v>BANZER Johannes</v>
      </c>
      <c r="E118" s="123" t="str">
        <f t="shared" si="29"/>
        <v>THÜRINGER RADSPORT VERBAND</v>
      </c>
      <c r="F118" s="124" t="str">
        <f t="shared" si="30"/>
        <v>THÜ173510</v>
      </c>
      <c r="G118" s="125" t="str">
        <f t="shared" si="31"/>
        <v>CADET</v>
      </c>
      <c r="H118" s="125" t="str">
        <f t="shared" si="32"/>
        <v>THU</v>
      </c>
      <c r="I118" s="164">
        <f t="shared" si="33"/>
        <v>8.8981481481481481E-2</v>
      </c>
      <c r="J118" s="70">
        <f t="shared" si="34"/>
        <v>1.08449074074074E-2</v>
      </c>
      <c r="K118" s="70"/>
      <c r="M118" s="127">
        <f t="shared" si="35"/>
        <v>107</v>
      </c>
      <c r="P118" s="165">
        <v>107</v>
      </c>
      <c r="Q118" s="166">
        <v>20</v>
      </c>
      <c r="R118" s="167">
        <v>8.8981481481481481E-2</v>
      </c>
      <c r="S118" s="168">
        <v>0</v>
      </c>
      <c r="T118" s="169"/>
      <c r="U118" s="170"/>
      <c r="V118" s="171"/>
      <c r="W118" s="172"/>
      <c r="X118" s="165"/>
      <c r="Y118" s="166"/>
      <c r="Z118" s="167"/>
      <c r="AA118" s="168"/>
      <c r="AB118" s="169"/>
      <c r="AC118" s="170"/>
      <c r="AD118" s="173"/>
      <c r="AE118" s="172"/>
      <c r="AF118" s="168"/>
      <c r="AG118" s="71"/>
    </row>
    <row r="119" spans="1:33" s="127" customFormat="1" ht="14.55" customHeight="1" x14ac:dyDescent="0.25">
      <c r="A119" s="45">
        <v>108</v>
      </c>
      <c r="B119" s="47">
        <v>141</v>
      </c>
      <c r="C119" s="121" t="str">
        <f t="shared" si="27"/>
        <v>SVK20000619*</v>
      </c>
      <c r="D119" s="122" t="str">
        <f t="shared" si="28"/>
        <v>COMA Richard</v>
      </c>
      <c r="E119" s="123" t="str">
        <f t="shared" si="29"/>
        <v>MIX6 - CYKLISTICKÝ SPOLOK ŽILINA</v>
      </c>
      <c r="F119" s="124" t="str">
        <f t="shared" si="30"/>
        <v>S 6808</v>
      </c>
      <c r="G119" s="125" t="str">
        <f t="shared" si="31"/>
        <v>CADET</v>
      </c>
      <c r="H119" s="125" t="str">
        <f t="shared" si="32"/>
        <v>FAV</v>
      </c>
      <c r="I119" s="164">
        <f t="shared" si="33"/>
        <v>8.8981481481481481E-2</v>
      </c>
      <c r="J119" s="70">
        <f t="shared" si="34"/>
        <v>1.08449074074074E-2</v>
      </c>
      <c r="K119" s="70"/>
      <c r="M119" s="127">
        <f t="shared" si="35"/>
        <v>108</v>
      </c>
      <c r="P119" s="165">
        <v>108</v>
      </c>
      <c r="Q119" s="166">
        <v>141</v>
      </c>
      <c r="R119" s="167">
        <v>8.8981481481481481E-2</v>
      </c>
      <c r="S119" s="168">
        <v>0</v>
      </c>
      <c r="T119" s="169"/>
      <c r="U119" s="170"/>
      <c r="V119" s="171"/>
      <c r="W119" s="172"/>
      <c r="X119" s="165"/>
      <c r="Y119" s="166"/>
      <c r="Z119" s="167"/>
      <c r="AA119" s="168"/>
      <c r="AB119" s="169"/>
      <c r="AC119" s="170"/>
      <c r="AD119" s="173"/>
      <c r="AE119" s="172"/>
      <c r="AF119" s="168"/>
      <c r="AG119" s="71"/>
    </row>
    <row r="120" spans="1:33" s="127" customFormat="1" ht="14.55" customHeight="1" x14ac:dyDescent="0.25">
      <c r="A120" s="45">
        <v>109</v>
      </c>
      <c r="B120" s="47">
        <v>131</v>
      </c>
      <c r="C120" s="121" t="str">
        <f t="shared" si="27"/>
        <v>SVK19990529*</v>
      </c>
      <c r="D120" s="122" t="str">
        <f t="shared" si="28"/>
        <v>LIŠKA Daniel</v>
      </c>
      <c r="E120" s="123" t="str">
        <f t="shared" si="29"/>
        <v>MIX5 - TJ SLAVIA SG TRENČÍN</v>
      </c>
      <c r="F120" s="124" t="str">
        <f t="shared" si="30"/>
        <v>S 7011</v>
      </c>
      <c r="G120" s="125" t="str">
        <f t="shared" si="31"/>
        <v>CADET</v>
      </c>
      <c r="H120" s="125" t="str">
        <f t="shared" si="32"/>
        <v>SGT</v>
      </c>
      <c r="I120" s="164">
        <f t="shared" si="33"/>
        <v>8.8981481481481481E-2</v>
      </c>
      <c r="J120" s="70">
        <f t="shared" si="34"/>
        <v>1.08449074074074E-2</v>
      </c>
      <c r="K120" s="70"/>
      <c r="M120" s="127">
        <f t="shared" si="35"/>
        <v>109</v>
      </c>
      <c r="P120" s="165">
        <v>109</v>
      </c>
      <c r="Q120" s="166">
        <v>131</v>
      </c>
      <c r="R120" s="167">
        <v>8.8981481481481481E-2</v>
      </c>
      <c r="S120" s="168">
        <v>0</v>
      </c>
      <c r="T120" s="169"/>
      <c r="U120" s="170"/>
      <c r="V120" s="171"/>
      <c r="W120" s="172"/>
      <c r="X120" s="165"/>
      <c r="Y120" s="166"/>
      <c r="Z120" s="167"/>
      <c r="AA120" s="168"/>
      <c r="AB120" s="169"/>
      <c r="AC120" s="170"/>
      <c r="AD120" s="173"/>
      <c r="AE120" s="172"/>
      <c r="AF120" s="168"/>
      <c r="AG120" s="71"/>
    </row>
    <row r="121" spans="1:33" s="127" customFormat="1" ht="14.55" customHeight="1" x14ac:dyDescent="0.25">
      <c r="A121" s="45">
        <v>110</v>
      </c>
      <c r="B121" s="47">
        <v>46</v>
      </c>
      <c r="C121" s="121" t="str">
        <f t="shared" si="27"/>
        <v>*CZE19980604</v>
      </c>
      <c r="D121" s="122" t="str">
        <f t="shared" si="28"/>
        <v xml:space="preserve">ŠMÍDA Martin </v>
      </c>
      <c r="E121" s="123" t="str">
        <f t="shared" si="29"/>
        <v xml:space="preserve">SKC TUFO PROSTĚJOV </v>
      </c>
      <c r="F121" s="124">
        <f t="shared" si="30"/>
        <v>5296</v>
      </c>
      <c r="G121" s="125" t="str">
        <f t="shared" si="31"/>
        <v>JUNIOR *</v>
      </c>
      <c r="H121" s="125" t="str">
        <f t="shared" si="32"/>
        <v>STP</v>
      </c>
      <c r="I121" s="164">
        <f t="shared" si="33"/>
        <v>8.9189814814814819E-2</v>
      </c>
      <c r="J121" s="70">
        <f t="shared" si="34"/>
        <v>1.1053240740740738E-2</v>
      </c>
      <c r="K121" s="70"/>
      <c r="M121" s="127">
        <f t="shared" si="35"/>
        <v>110</v>
      </c>
      <c r="P121" s="165">
        <v>110</v>
      </c>
      <c r="Q121" s="166">
        <v>46</v>
      </c>
      <c r="R121" s="167">
        <v>8.9189814814814819E-2</v>
      </c>
      <c r="S121" s="168">
        <v>0</v>
      </c>
      <c r="T121" s="169"/>
      <c r="U121" s="170"/>
      <c r="V121" s="171"/>
      <c r="W121" s="172"/>
      <c r="X121" s="165"/>
      <c r="Y121" s="166"/>
      <c r="Z121" s="167"/>
      <c r="AA121" s="168"/>
      <c r="AB121" s="169"/>
      <c r="AC121" s="170"/>
      <c r="AD121" s="173"/>
      <c r="AE121" s="172"/>
      <c r="AF121" s="168"/>
      <c r="AG121" s="71"/>
    </row>
    <row r="122" spans="1:33" s="127" customFormat="1" ht="14.55" customHeight="1" x14ac:dyDescent="0.25">
      <c r="A122" s="45">
        <v>111</v>
      </c>
      <c r="B122" s="47">
        <v>116</v>
      </c>
      <c r="C122" s="121" t="str">
        <f t="shared" si="27"/>
        <v>CZE19990602*</v>
      </c>
      <c r="D122" s="122" t="str">
        <f t="shared" si="28"/>
        <v xml:space="preserve">KUBA Karel </v>
      </c>
      <c r="E122" s="123" t="str">
        <f t="shared" si="29"/>
        <v xml:space="preserve">MIX3 - CK PŘÍBRAM - FANY GASTRO </v>
      </c>
      <c r="F122" s="124">
        <f t="shared" si="30"/>
        <v>19875</v>
      </c>
      <c r="G122" s="125" t="str">
        <f t="shared" si="31"/>
        <v>CADET</v>
      </c>
      <c r="H122" s="125" t="str">
        <f t="shared" si="32"/>
        <v>CPP</v>
      </c>
      <c r="I122" s="164">
        <f t="shared" si="33"/>
        <v>8.9189814814814819E-2</v>
      </c>
      <c r="J122" s="70">
        <f t="shared" si="34"/>
        <v>1.1053240740740738E-2</v>
      </c>
      <c r="K122" s="70"/>
      <c r="M122" s="127">
        <f t="shared" si="35"/>
        <v>111</v>
      </c>
      <c r="P122" s="165">
        <v>111</v>
      </c>
      <c r="Q122" s="166">
        <v>116</v>
      </c>
      <c r="R122" s="167">
        <v>8.9189814814814819E-2</v>
      </c>
      <c r="S122" s="168">
        <v>0</v>
      </c>
      <c r="T122" s="169"/>
      <c r="U122" s="170"/>
      <c r="V122" s="171"/>
      <c r="W122" s="172"/>
      <c r="X122" s="165"/>
      <c r="Y122" s="166"/>
      <c r="Z122" s="167"/>
      <c r="AA122" s="168"/>
      <c r="AB122" s="169"/>
      <c r="AC122" s="170"/>
      <c r="AD122" s="173"/>
      <c r="AE122" s="172"/>
      <c r="AF122" s="168"/>
      <c r="AG122" s="71"/>
    </row>
    <row r="123" spans="1:33" s="127" customFormat="1" ht="14.55" customHeight="1" x14ac:dyDescent="0.25">
      <c r="A123" s="45">
        <v>112</v>
      </c>
      <c r="B123" s="47">
        <v>40</v>
      </c>
      <c r="C123" s="121" t="str">
        <f t="shared" si="27"/>
        <v>GER19991106*</v>
      </c>
      <c r="D123" s="122" t="str">
        <f t="shared" si="28"/>
        <v>ZUGEHÖR Anton</v>
      </c>
      <c r="E123" s="123" t="str">
        <f t="shared" si="29"/>
        <v>JUNIOREN SCHWALBE TEAM SACHSEN</v>
      </c>
      <c r="F123" s="124" t="str">
        <f t="shared" si="30"/>
        <v>SAC142235</v>
      </c>
      <c r="G123" s="125" t="str">
        <f t="shared" si="31"/>
        <v>CADET</v>
      </c>
      <c r="H123" s="125" t="str">
        <f t="shared" si="32"/>
        <v>SAC</v>
      </c>
      <c r="I123" s="164">
        <f t="shared" si="33"/>
        <v>8.9189814814814819E-2</v>
      </c>
      <c r="J123" s="70">
        <f t="shared" si="34"/>
        <v>1.1053240740740738E-2</v>
      </c>
      <c r="K123" s="70"/>
      <c r="M123" s="127">
        <f t="shared" si="35"/>
        <v>112</v>
      </c>
      <c r="P123" s="165">
        <v>112</v>
      </c>
      <c r="Q123" s="166">
        <v>40</v>
      </c>
      <c r="R123" s="167">
        <v>8.9189814814814819E-2</v>
      </c>
      <c r="S123" s="168">
        <v>0</v>
      </c>
      <c r="T123" s="169"/>
      <c r="U123" s="170"/>
      <c r="V123" s="171"/>
      <c r="W123" s="172"/>
      <c r="X123" s="165"/>
      <c r="Y123" s="166"/>
      <c r="Z123" s="167"/>
      <c r="AA123" s="168"/>
      <c r="AB123" s="169"/>
      <c r="AC123" s="170"/>
      <c r="AD123" s="173"/>
      <c r="AE123" s="172"/>
      <c r="AF123" s="168"/>
      <c r="AG123" s="71"/>
    </row>
    <row r="124" spans="1:33" s="127" customFormat="1" ht="14.55" customHeight="1" x14ac:dyDescent="0.25">
      <c r="A124" s="45">
        <v>113</v>
      </c>
      <c r="B124" s="47">
        <v>7</v>
      </c>
      <c r="C124" s="121" t="str">
        <f t="shared" si="27"/>
        <v>*GER19980724</v>
      </c>
      <c r="D124" s="122" t="str">
        <f t="shared" si="28"/>
        <v>WEBER Philip</v>
      </c>
      <c r="E124" s="123" t="str">
        <f t="shared" si="29"/>
        <v>RSC COTTBUS</v>
      </c>
      <c r="F124" s="124" t="str">
        <f t="shared" si="30"/>
        <v>BRA043863</v>
      </c>
      <c r="G124" s="125" t="str">
        <f t="shared" si="31"/>
        <v>JUNIOR *</v>
      </c>
      <c r="H124" s="125" t="str">
        <f t="shared" si="32"/>
        <v>COT</v>
      </c>
      <c r="I124" s="164">
        <f t="shared" si="33"/>
        <v>8.9189814814814819E-2</v>
      </c>
      <c r="J124" s="70">
        <f t="shared" si="34"/>
        <v>1.1053240740740738E-2</v>
      </c>
      <c r="K124" s="70"/>
      <c r="M124" s="127">
        <f t="shared" si="35"/>
        <v>113</v>
      </c>
      <c r="P124" s="165">
        <v>113</v>
      </c>
      <c r="Q124" s="166">
        <v>7</v>
      </c>
      <c r="R124" s="167">
        <v>8.9189814814814819E-2</v>
      </c>
      <c r="S124" s="168">
        <v>0</v>
      </c>
      <c r="T124" s="169"/>
      <c r="U124" s="170"/>
      <c r="V124" s="171"/>
      <c r="W124" s="172"/>
      <c r="X124" s="165"/>
      <c r="Y124" s="166"/>
      <c r="Z124" s="167"/>
      <c r="AA124" s="168"/>
      <c r="AB124" s="169"/>
      <c r="AC124" s="170"/>
      <c r="AD124" s="173"/>
      <c r="AE124" s="172"/>
      <c r="AF124" s="168"/>
      <c r="AG124" s="71"/>
    </row>
    <row r="125" spans="1:33" s="127" customFormat="1" ht="14.55" customHeight="1" x14ac:dyDescent="0.25">
      <c r="A125" s="45">
        <v>114</v>
      </c>
      <c r="B125" s="47">
        <v>93</v>
      </c>
      <c r="C125" s="121" t="str">
        <f t="shared" si="27"/>
        <v>GER19990721*</v>
      </c>
      <c r="D125" s="122" t="str">
        <f t="shared" si="28"/>
        <v>GRABOWSKY Joe</v>
      </c>
      <c r="E125" s="123" t="str">
        <f t="shared" si="29"/>
        <v>RG BERLIN</v>
      </c>
      <c r="F125" s="124" t="str">
        <f t="shared" si="30"/>
        <v>BER035062</v>
      </c>
      <c r="G125" s="125" t="str">
        <f t="shared" si="31"/>
        <v>CADET</v>
      </c>
      <c r="H125" s="125" t="str">
        <f t="shared" si="32"/>
        <v>RGB</v>
      </c>
      <c r="I125" s="164">
        <f t="shared" si="33"/>
        <v>8.9189814814814819E-2</v>
      </c>
      <c r="J125" s="70">
        <f t="shared" si="34"/>
        <v>1.1053240740740738E-2</v>
      </c>
      <c r="K125" s="70"/>
      <c r="M125" s="127">
        <f t="shared" si="35"/>
        <v>114</v>
      </c>
      <c r="P125" s="165">
        <v>114</v>
      </c>
      <c r="Q125" s="166">
        <v>93</v>
      </c>
      <c r="R125" s="167">
        <v>8.9189814814814819E-2</v>
      </c>
      <c r="S125" s="168">
        <v>0</v>
      </c>
      <c r="T125" s="169"/>
      <c r="U125" s="170"/>
      <c r="V125" s="171"/>
      <c r="W125" s="172"/>
      <c r="X125" s="165"/>
      <c r="Y125" s="166"/>
      <c r="Z125" s="167"/>
      <c r="AA125" s="168"/>
      <c r="AB125" s="169"/>
      <c r="AC125" s="170"/>
      <c r="AD125" s="173"/>
      <c r="AE125" s="172"/>
      <c r="AF125" s="168"/>
      <c r="AG125" s="71"/>
    </row>
    <row r="126" spans="1:33" s="127" customFormat="1" ht="14.55" customHeight="1" x14ac:dyDescent="0.25">
      <c r="A126" s="45">
        <v>115</v>
      </c>
      <c r="B126" s="47">
        <v>3</v>
      </c>
      <c r="C126" s="121" t="str">
        <f t="shared" si="27"/>
        <v>*GER19980825</v>
      </c>
      <c r="D126" s="122" t="str">
        <f t="shared" si="28"/>
        <v>CARMESIN Johannes</v>
      </c>
      <c r="E126" s="123" t="str">
        <f t="shared" si="29"/>
        <v>RSC COTTBUS</v>
      </c>
      <c r="F126" s="124" t="str">
        <f t="shared" si="30"/>
        <v>BRA044498</v>
      </c>
      <c r="G126" s="125" t="str">
        <f t="shared" si="31"/>
        <v>JUNIOR *</v>
      </c>
      <c r="H126" s="125" t="str">
        <f t="shared" si="32"/>
        <v>COT</v>
      </c>
      <c r="I126" s="164">
        <f t="shared" si="33"/>
        <v>8.9189814814814819E-2</v>
      </c>
      <c r="J126" s="70">
        <f t="shared" si="34"/>
        <v>1.1053240740740738E-2</v>
      </c>
      <c r="K126" s="70"/>
      <c r="M126" s="127">
        <f t="shared" si="35"/>
        <v>115</v>
      </c>
      <c r="P126" s="165">
        <v>115</v>
      </c>
      <c r="Q126" s="166">
        <v>3</v>
      </c>
      <c r="R126" s="167">
        <v>8.9189814814814819E-2</v>
      </c>
      <c r="S126" s="168">
        <v>0</v>
      </c>
      <c r="T126" s="169"/>
      <c r="U126" s="170"/>
      <c r="V126" s="171"/>
      <c r="W126" s="172"/>
      <c r="X126" s="165"/>
      <c r="Y126" s="166"/>
      <c r="Z126" s="167"/>
      <c r="AA126" s="168"/>
      <c r="AB126" s="169"/>
      <c r="AC126" s="170"/>
      <c r="AD126" s="173"/>
      <c r="AE126" s="172"/>
      <c r="AF126" s="168"/>
      <c r="AG126" s="71"/>
    </row>
    <row r="127" spans="1:33" s="127" customFormat="1" ht="14.55" customHeight="1" x14ac:dyDescent="0.25">
      <c r="A127" s="45">
        <v>116</v>
      </c>
      <c r="B127" s="47">
        <v>74</v>
      </c>
      <c r="C127" s="121" t="str">
        <f t="shared" si="27"/>
        <v>*CZE19980303</v>
      </c>
      <c r="D127" s="122" t="str">
        <f t="shared" si="28"/>
        <v xml:space="preserve">KOUDELA Dominik </v>
      </c>
      <c r="E127" s="123" t="str">
        <f t="shared" si="29"/>
        <v xml:space="preserve">MIX2  - TJ KOVO PRAHA </v>
      </c>
      <c r="F127" s="124">
        <f t="shared" si="30"/>
        <v>13590</v>
      </c>
      <c r="G127" s="125" t="str">
        <f t="shared" si="31"/>
        <v>JUNIOR *</v>
      </c>
      <c r="H127" s="125" t="str">
        <f t="shared" si="32"/>
        <v>KOV</v>
      </c>
      <c r="I127" s="164">
        <f t="shared" si="33"/>
        <v>8.9189814814814819E-2</v>
      </c>
      <c r="J127" s="70">
        <f t="shared" si="34"/>
        <v>1.1053240740740738E-2</v>
      </c>
      <c r="K127" s="70"/>
      <c r="M127" s="127">
        <f t="shared" si="35"/>
        <v>116</v>
      </c>
      <c r="P127" s="165">
        <v>116</v>
      </c>
      <c r="Q127" s="166">
        <v>74</v>
      </c>
      <c r="R127" s="167">
        <v>8.9189814814814819E-2</v>
      </c>
      <c r="S127" s="168">
        <v>0</v>
      </c>
      <c r="T127" s="169"/>
      <c r="U127" s="170"/>
      <c r="V127" s="171"/>
      <c r="W127" s="172"/>
      <c r="X127" s="165"/>
      <c r="Y127" s="166"/>
      <c r="Z127" s="167"/>
      <c r="AA127" s="168"/>
      <c r="AB127" s="169"/>
      <c r="AC127" s="170"/>
      <c r="AD127" s="173"/>
      <c r="AE127" s="172"/>
      <c r="AF127" s="168"/>
      <c r="AG127" s="71"/>
    </row>
    <row r="128" spans="1:33" s="127" customFormat="1" ht="14.55" customHeight="1" x14ac:dyDescent="0.25">
      <c r="A128" s="45">
        <v>117</v>
      </c>
      <c r="B128" s="47">
        <v>5</v>
      </c>
      <c r="C128" s="121" t="str">
        <f t="shared" si="27"/>
        <v>*GER19980601</v>
      </c>
      <c r="D128" s="122" t="str">
        <f t="shared" si="28"/>
        <v>RUDYS Paul</v>
      </c>
      <c r="E128" s="123" t="str">
        <f t="shared" si="29"/>
        <v>RSC COTTBUS</v>
      </c>
      <c r="F128" s="124" t="str">
        <f t="shared" si="30"/>
        <v>BRA062804</v>
      </c>
      <c r="G128" s="125" t="str">
        <f t="shared" si="31"/>
        <v>JUNIOR *</v>
      </c>
      <c r="H128" s="125" t="str">
        <f t="shared" si="32"/>
        <v>COT</v>
      </c>
      <c r="I128" s="164">
        <f t="shared" si="33"/>
        <v>8.9363425925925929E-2</v>
      </c>
      <c r="J128" s="70">
        <f t="shared" si="34"/>
        <v>1.1226851851851849E-2</v>
      </c>
      <c r="K128" s="70"/>
      <c r="M128" s="127">
        <f t="shared" si="35"/>
        <v>117</v>
      </c>
      <c r="P128" s="165">
        <v>117</v>
      </c>
      <c r="Q128" s="166">
        <v>5</v>
      </c>
      <c r="R128" s="167">
        <v>8.9363425925925929E-2</v>
      </c>
      <c r="S128" s="168">
        <v>0</v>
      </c>
      <c r="T128" s="169"/>
      <c r="U128" s="170"/>
      <c r="V128" s="171"/>
      <c r="W128" s="172"/>
      <c r="X128" s="165"/>
      <c r="Y128" s="166"/>
      <c r="Z128" s="167"/>
      <c r="AA128" s="168"/>
      <c r="AB128" s="169"/>
      <c r="AC128" s="170"/>
      <c r="AD128" s="173"/>
      <c r="AE128" s="172"/>
      <c r="AF128" s="168"/>
      <c r="AG128" s="71"/>
    </row>
    <row r="129" spans="1:33" s="127" customFormat="1" ht="14.55" customHeight="1" x14ac:dyDescent="0.25">
      <c r="A129" s="45">
        <v>118</v>
      </c>
      <c r="B129" s="47">
        <v>36</v>
      </c>
      <c r="C129" s="121" t="str">
        <f t="shared" si="27"/>
        <v>GER19990128*</v>
      </c>
      <c r="D129" s="122" t="str">
        <f t="shared" si="28"/>
        <v>KLUGE Felix</v>
      </c>
      <c r="E129" s="123" t="str">
        <f t="shared" si="29"/>
        <v>JUNIOREN SCHWALBE TEAM SACHSEN</v>
      </c>
      <c r="F129" s="124" t="str">
        <f t="shared" si="30"/>
        <v>SAC136049</v>
      </c>
      <c r="G129" s="125" t="str">
        <f t="shared" si="31"/>
        <v>CADET</v>
      </c>
      <c r="H129" s="125" t="str">
        <f t="shared" si="32"/>
        <v>SAC</v>
      </c>
      <c r="I129" s="164">
        <f t="shared" si="33"/>
        <v>8.9444444444444438E-2</v>
      </c>
      <c r="J129" s="70">
        <f t="shared" si="34"/>
        <v>1.1307870370370357E-2</v>
      </c>
      <c r="K129" s="70"/>
      <c r="M129" s="127">
        <f t="shared" si="35"/>
        <v>118</v>
      </c>
      <c r="P129" s="165">
        <v>118</v>
      </c>
      <c r="Q129" s="166">
        <v>36</v>
      </c>
      <c r="R129" s="167">
        <v>8.9444444444444438E-2</v>
      </c>
      <c r="S129" s="168">
        <v>0</v>
      </c>
      <c r="T129" s="169"/>
      <c r="U129" s="170"/>
      <c r="V129" s="171"/>
      <c r="W129" s="172"/>
      <c r="X129" s="165"/>
      <c r="Y129" s="166"/>
      <c r="Z129" s="167"/>
      <c r="AA129" s="168"/>
      <c r="AB129" s="169"/>
      <c r="AC129" s="170"/>
      <c r="AD129" s="173"/>
      <c r="AE129" s="172"/>
      <c r="AF129" s="168"/>
      <c r="AG129" s="71"/>
    </row>
    <row r="130" spans="1:33" s="127" customFormat="1" ht="14.55" customHeight="1" x14ac:dyDescent="0.25">
      <c r="A130" s="45">
        <v>119</v>
      </c>
      <c r="B130" s="47">
        <v>119</v>
      </c>
      <c r="C130" s="121" t="str">
        <f t="shared" si="27"/>
        <v>CZE19990706*</v>
      </c>
      <c r="D130" s="122" t="str">
        <f t="shared" si="28"/>
        <v xml:space="preserve">TUHÝ Jan </v>
      </c>
      <c r="E130" s="123" t="str">
        <f t="shared" si="29"/>
        <v xml:space="preserve">MIX3 - TJ ZČE CYKLISTIKA PLZEŇ </v>
      </c>
      <c r="F130" s="124">
        <f t="shared" si="30"/>
        <v>19421</v>
      </c>
      <c r="G130" s="125" t="str">
        <f t="shared" si="31"/>
        <v>CADET</v>
      </c>
      <c r="H130" s="125" t="str">
        <f t="shared" si="32"/>
        <v>CPP</v>
      </c>
      <c r="I130" s="164">
        <f t="shared" si="33"/>
        <v>8.9791666666666659E-2</v>
      </c>
      <c r="J130" s="70">
        <f t="shared" si="34"/>
        <v>1.1655092592592578E-2</v>
      </c>
      <c r="K130" s="70"/>
      <c r="M130" s="127">
        <f t="shared" si="35"/>
        <v>119</v>
      </c>
      <c r="P130" s="165">
        <v>119</v>
      </c>
      <c r="Q130" s="166">
        <v>119</v>
      </c>
      <c r="R130" s="167">
        <v>8.9791666666666659E-2</v>
      </c>
      <c r="S130" s="168">
        <v>0</v>
      </c>
      <c r="T130" s="169"/>
      <c r="U130" s="170"/>
      <c r="V130" s="171"/>
      <c r="W130" s="172"/>
      <c r="X130" s="165"/>
      <c r="Y130" s="166"/>
      <c r="Z130" s="167"/>
      <c r="AA130" s="168"/>
      <c r="AB130" s="169"/>
      <c r="AC130" s="170"/>
      <c r="AD130" s="173"/>
      <c r="AE130" s="172"/>
      <c r="AF130" s="168"/>
      <c r="AG130" s="71"/>
    </row>
    <row r="131" spans="1:33" s="127" customFormat="1" ht="14.55" customHeight="1" x14ac:dyDescent="0.25">
      <c r="A131" s="45">
        <v>120</v>
      </c>
      <c r="B131" s="47">
        <v>55</v>
      </c>
      <c r="C131" s="121" t="str">
        <f t="shared" si="27"/>
        <v>CZE19971111</v>
      </c>
      <c r="D131" s="122" t="str">
        <f t="shared" si="28"/>
        <v>VÁVRA Marek</v>
      </c>
      <c r="E131" s="123" t="str">
        <f t="shared" si="29"/>
        <v>MIX1 - ACK STARÁ VES NAD ONDŘEJNICÍ</v>
      </c>
      <c r="F131" s="124">
        <f t="shared" si="30"/>
        <v>20625</v>
      </c>
      <c r="G131" s="125" t="str">
        <f t="shared" si="31"/>
        <v xml:space="preserve">JUNIOR </v>
      </c>
      <c r="H131" s="125" t="str">
        <f t="shared" si="32"/>
        <v>SLZ</v>
      </c>
      <c r="I131" s="164">
        <f t="shared" si="33"/>
        <v>9.1921296296296293E-2</v>
      </c>
      <c r="J131" s="70">
        <f t="shared" si="34"/>
        <v>1.3784722222222212E-2</v>
      </c>
      <c r="K131" s="70"/>
      <c r="M131" s="127">
        <f t="shared" si="35"/>
        <v>120</v>
      </c>
      <c r="P131" s="165">
        <v>120</v>
      </c>
      <c r="Q131" s="166">
        <v>55</v>
      </c>
      <c r="R131" s="167">
        <v>9.1921296296296293E-2</v>
      </c>
      <c r="S131" s="168">
        <v>0</v>
      </c>
      <c r="T131" s="169"/>
      <c r="U131" s="170"/>
      <c r="V131" s="171"/>
      <c r="W131" s="172"/>
      <c r="X131" s="165"/>
      <c r="Y131" s="166"/>
      <c r="Z131" s="167"/>
      <c r="AA131" s="168"/>
      <c r="AB131" s="169"/>
      <c r="AC131" s="170"/>
      <c r="AD131" s="173"/>
      <c r="AE131" s="172"/>
      <c r="AF131" s="168"/>
      <c r="AG131" s="71"/>
    </row>
    <row r="132" spans="1:33" s="127" customFormat="1" ht="14.55" customHeight="1" x14ac:dyDescent="0.25">
      <c r="A132" s="45">
        <v>121</v>
      </c>
      <c r="B132" s="47">
        <v>19</v>
      </c>
      <c r="C132" s="121" t="str">
        <f t="shared" si="27"/>
        <v>GER19990212*</v>
      </c>
      <c r="D132" s="122" t="str">
        <f t="shared" si="28"/>
        <v>WELLENDORF Lukas</v>
      </c>
      <c r="E132" s="123" t="str">
        <f t="shared" si="29"/>
        <v>THÜRINGER RADSPORT VERBAND</v>
      </c>
      <c r="F132" s="124" t="str">
        <f t="shared" si="30"/>
        <v>THÜ173400</v>
      </c>
      <c r="G132" s="125" t="str">
        <f t="shared" si="31"/>
        <v>CADET</v>
      </c>
      <c r="H132" s="125" t="str">
        <f t="shared" si="32"/>
        <v>THU</v>
      </c>
      <c r="I132" s="164">
        <f t="shared" si="33"/>
        <v>9.1921296296296293E-2</v>
      </c>
      <c r="J132" s="70">
        <f t="shared" si="34"/>
        <v>1.3784722222222212E-2</v>
      </c>
      <c r="K132" s="70"/>
      <c r="M132" s="127">
        <f t="shared" si="35"/>
        <v>121</v>
      </c>
      <c r="P132" s="165">
        <v>121</v>
      </c>
      <c r="Q132" s="166">
        <v>19</v>
      </c>
      <c r="R132" s="167">
        <v>9.1921296296296293E-2</v>
      </c>
      <c r="S132" s="168">
        <v>0</v>
      </c>
      <c r="T132" s="169"/>
      <c r="U132" s="170"/>
      <c r="V132" s="171"/>
      <c r="W132" s="172"/>
      <c r="X132" s="165"/>
      <c r="Y132" s="166"/>
      <c r="Z132" s="167"/>
      <c r="AA132" s="168"/>
      <c r="AB132" s="169"/>
      <c r="AC132" s="170"/>
      <c r="AD132" s="173"/>
      <c r="AE132" s="172"/>
      <c r="AF132" s="168"/>
      <c r="AG132" s="71"/>
    </row>
    <row r="133" spans="1:33" s="127" customFormat="1" ht="14.55" customHeight="1" x14ac:dyDescent="0.25">
      <c r="A133" s="45">
        <v>122</v>
      </c>
      <c r="B133" s="47">
        <v>144</v>
      </c>
      <c r="C133" s="121" t="str">
        <f t="shared" si="27"/>
        <v>*SVK19981014</v>
      </c>
      <c r="D133" s="122" t="str">
        <f t="shared" si="28"/>
        <v>PERSON Tomáš</v>
      </c>
      <c r="E133" s="123" t="str">
        <f t="shared" si="29"/>
        <v>MIX6 - CYKLISTICKÝ SPOLOK ŽILINA</v>
      </c>
      <c r="F133" s="124" t="str">
        <f t="shared" si="30"/>
        <v>S 4322</v>
      </c>
      <c r="G133" s="125" t="str">
        <f t="shared" si="31"/>
        <v>JUNIOR *</v>
      </c>
      <c r="H133" s="125" t="str">
        <f t="shared" si="32"/>
        <v>FAV</v>
      </c>
      <c r="I133" s="164">
        <f t="shared" si="33"/>
        <v>9.1921296296296293E-2</v>
      </c>
      <c r="J133" s="70">
        <f t="shared" si="34"/>
        <v>1.3784722222222212E-2</v>
      </c>
      <c r="K133" s="70"/>
      <c r="M133" s="127">
        <f t="shared" si="35"/>
        <v>122</v>
      </c>
      <c r="P133" s="165">
        <v>122</v>
      </c>
      <c r="Q133" s="166">
        <v>144</v>
      </c>
      <c r="R133" s="167">
        <v>9.1921296296296293E-2</v>
      </c>
      <c r="S133" s="168">
        <v>0</v>
      </c>
      <c r="T133" s="169"/>
      <c r="U133" s="170"/>
      <c r="V133" s="171"/>
      <c r="W133" s="172"/>
      <c r="X133" s="165"/>
      <c r="Y133" s="166"/>
      <c r="Z133" s="167"/>
      <c r="AA133" s="168"/>
      <c r="AB133" s="169"/>
      <c r="AC133" s="170"/>
      <c r="AD133" s="173"/>
      <c r="AE133" s="172"/>
      <c r="AF133" s="168"/>
      <c r="AG133" s="71"/>
    </row>
    <row r="134" spans="1:33" s="127" customFormat="1" ht="14.55" customHeight="1" x14ac:dyDescent="0.25">
      <c r="A134" s="45">
        <v>123</v>
      </c>
      <c r="B134" s="47">
        <v>17</v>
      </c>
      <c r="C134" s="121" t="str">
        <f t="shared" si="27"/>
        <v>GER19991107*</v>
      </c>
      <c r="D134" s="122" t="str">
        <f t="shared" si="28"/>
        <v>ASCHENBRENNER Michel</v>
      </c>
      <c r="E134" s="123" t="str">
        <f t="shared" si="29"/>
        <v>THÜRINGER RADSPORT VERBAND</v>
      </c>
      <c r="F134" s="124" t="str">
        <f t="shared" si="30"/>
        <v>THÜ173666</v>
      </c>
      <c r="G134" s="125" t="str">
        <f t="shared" si="31"/>
        <v>CADET</v>
      </c>
      <c r="H134" s="125" t="str">
        <f t="shared" si="32"/>
        <v>THU</v>
      </c>
      <c r="I134" s="164">
        <f t="shared" si="33"/>
        <v>9.1921296296296293E-2</v>
      </c>
      <c r="J134" s="70">
        <f t="shared" si="34"/>
        <v>1.3784722222222212E-2</v>
      </c>
      <c r="K134" s="70"/>
      <c r="M134" s="127">
        <f t="shared" si="35"/>
        <v>123</v>
      </c>
      <c r="P134" s="165">
        <v>123</v>
      </c>
      <c r="Q134" s="166">
        <v>17</v>
      </c>
      <c r="R134" s="167">
        <v>9.1921296296296293E-2</v>
      </c>
      <c r="S134" s="168">
        <v>0</v>
      </c>
      <c r="T134" s="169"/>
      <c r="U134" s="170"/>
      <c r="V134" s="171"/>
      <c r="W134" s="172"/>
      <c r="X134" s="165"/>
      <c r="Y134" s="166"/>
      <c r="Z134" s="167"/>
      <c r="AA134" s="168"/>
      <c r="AB134" s="169"/>
      <c r="AC134" s="170"/>
      <c r="AD134" s="173"/>
      <c r="AE134" s="172"/>
      <c r="AF134" s="168"/>
      <c r="AG134" s="71"/>
    </row>
    <row r="135" spans="1:33" s="127" customFormat="1" ht="14.55" customHeight="1" x14ac:dyDescent="0.25">
      <c r="A135" s="45">
        <v>124</v>
      </c>
      <c r="B135" s="47">
        <v>140</v>
      </c>
      <c r="C135" s="121" t="str">
        <f t="shared" si="27"/>
        <v>POL19970228</v>
      </c>
      <c r="D135" s="122" t="str">
        <f t="shared" si="28"/>
        <v>SKIBIŃSKI Krzysztof</v>
      </c>
      <c r="E135" s="123" t="str">
        <f t="shared" si="29"/>
        <v>MIX5 - DSR AUTHOR GÓRNIK WAŁBRZYCH</v>
      </c>
      <c r="F135" s="124" t="str">
        <f t="shared" si="30"/>
        <v>DLS186</v>
      </c>
      <c r="G135" s="125" t="str">
        <f t="shared" si="31"/>
        <v xml:space="preserve">JUNIOR </v>
      </c>
      <c r="H135" s="125" t="str">
        <f t="shared" si="32"/>
        <v>SGT</v>
      </c>
      <c r="I135" s="164">
        <f t="shared" si="33"/>
        <v>9.1921296296296293E-2</v>
      </c>
      <c r="J135" s="70">
        <f t="shared" si="34"/>
        <v>1.3784722222222212E-2</v>
      </c>
      <c r="K135" s="70"/>
      <c r="M135" s="127">
        <f t="shared" si="35"/>
        <v>124</v>
      </c>
      <c r="P135" s="165">
        <v>124</v>
      </c>
      <c r="Q135" s="166">
        <v>140</v>
      </c>
      <c r="R135" s="167">
        <v>9.1921296296296293E-2</v>
      </c>
      <c r="S135" s="168">
        <v>0</v>
      </c>
      <c r="T135" s="169"/>
      <c r="U135" s="170"/>
      <c r="V135" s="171"/>
      <c r="W135" s="172"/>
      <c r="X135" s="165"/>
      <c r="Y135" s="166"/>
      <c r="Z135" s="167"/>
      <c r="AA135" s="168"/>
      <c r="AB135" s="169"/>
      <c r="AC135" s="170"/>
      <c r="AD135" s="173"/>
      <c r="AE135" s="172"/>
      <c r="AF135" s="168"/>
      <c r="AG135" s="71"/>
    </row>
    <row r="136" spans="1:33" s="127" customFormat="1" ht="14.55" customHeight="1" x14ac:dyDescent="0.25">
      <c r="A136" s="45">
        <v>125</v>
      </c>
      <c r="B136" s="47">
        <v>159</v>
      </c>
      <c r="C136" s="121" t="str">
        <f t="shared" si="27"/>
        <v>POL19990202*</v>
      </c>
      <c r="D136" s="122" t="str">
        <f t="shared" si="28"/>
        <v>KUŚ Adam</v>
      </c>
      <c r="E136" s="123" t="str">
        <f t="shared" si="29"/>
        <v>MIX7 - MLKS WIELUŃ</v>
      </c>
      <c r="F136" s="124" t="str">
        <f t="shared" si="30"/>
        <v>LOD006</v>
      </c>
      <c r="G136" s="125" t="str">
        <f t="shared" si="31"/>
        <v>CADET</v>
      </c>
      <c r="H136" s="125" t="str">
        <f t="shared" si="32"/>
        <v>RLM</v>
      </c>
      <c r="I136" s="164">
        <f t="shared" si="33"/>
        <v>9.1921296296296293E-2</v>
      </c>
      <c r="J136" s="70">
        <f t="shared" si="34"/>
        <v>1.3784722222222212E-2</v>
      </c>
      <c r="K136" s="70"/>
      <c r="M136" s="127">
        <f t="shared" si="35"/>
        <v>125</v>
      </c>
      <c r="P136" s="165">
        <v>125</v>
      </c>
      <c r="Q136" s="166">
        <v>159</v>
      </c>
      <c r="R136" s="167">
        <v>9.1921296296296293E-2</v>
      </c>
      <c r="S136" s="168">
        <v>0</v>
      </c>
      <c r="T136" s="169"/>
      <c r="U136" s="170"/>
      <c r="V136" s="171"/>
      <c r="W136" s="172"/>
      <c r="X136" s="165"/>
      <c r="Y136" s="166"/>
      <c r="Z136" s="167"/>
      <c r="AA136" s="168"/>
      <c r="AB136" s="169"/>
      <c r="AC136" s="170"/>
      <c r="AD136" s="173"/>
      <c r="AE136" s="172"/>
      <c r="AF136" s="168"/>
      <c r="AG136" s="71"/>
    </row>
    <row r="137" spans="1:33" s="127" customFormat="1" ht="14.55" customHeight="1" x14ac:dyDescent="0.25">
      <c r="A137" s="45">
        <v>126</v>
      </c>
      <c r="B137" s="47">
        <v>198</v>
      </c>
      <c r="C137" s="121" t="str">
        <f t="shared" si="27"/>
        <v>SVK19991205*</v>
      </c>
      <c r="D137" s="122" t="str">
        <f t="shared" si="28"/>
        <v>VRANKO Daniel</v>
      </c>
      <c r="E137" s="123" t="str">
        <f t="shared" si="29"/>
        <v>MIX8 - CK KARPATY SMOLENICE</v>
      </c>
      <c r="F137" s="124" t="str">
        <f t="shared" si="30"/>
        <v>S 7449</v>
      </c>
      <c r="G137" s="125" t="str">
        <f t="shared" si="31"/>
        <v>CADET</v>
      </c>
      <c r="H137" s="125" t="str">
        <f t="shared" si="32"/>
        <v>SDL</v>
      </c>
      <c r="I137" s="164">
        <f t="shared" si="33"/>
        <v>9.1921296296296293E-2</v>
      </c>
      <c r="J137" s="70">
        <f t="shared" si="34"/>
        <v>1.3784722222222212E-2</v>
      </c>
      <c r="K137" s="70"/>
      <c r="M137" s="127">
        <f t="shared" si="35"/>
        <v>126</v>
      </c>
      <c r="P137" s="165">
        <v>126</v>
      </c>
      <c r="Q137" s="166">
        <v>198</v>
      </c>
      <c r="R137" s="167">
        <v>9.1921296296296293E-2</v>
      </c>
      <c r="S137" s="168">
        <v>0</v>
      </c>
      <c r="T137" s="169"/>
      <c r="U137" s="170"/>
      <c r="V137" s="171"/>
      <c r="W137" s="172"/>
      <c r="X137" s="165"/>
      <c r="Y137" s="166"/>
      <c r="Z137" s="167"/>
      <c r="AA137" s="168"/>
      <c r="AB137" s="169"/>
      <c r="AC137" s="170"/>
      <c r="AD137" s="173"/>
      <c r="AE137" s="172"/>
      <c r="AF137" s="168"/>
      <c r="AG137" s="71"/>
    </row>
    <row r="138" spans="1:33" s="127" customFormat="1" ht="14.55" customHeight="1" x14ac:dyDescent="0.25">
      <c r="A138" s="45">
        <v>127</v>
      </c>
      <c r="B138" s="47">
        <v>115</v>
      </c>
      <c r="C138" s="121" t="str">
        <f t="shared" si="27"/>
        <v>*CZE19980802</v>
      </c>
      <c r="D138" s="122" t="str">
        <f t="shared" si="28"/>
        <v xml:space="preserve">CHARALAMBIDIS Denis </v>
      </c>
      <c r="E138" s="123" t="str">
        <f t="shared" si="29"/>
        <v xml:space="preserve">MIX3 - CK PŘÍBRAM - FANY GASTRO </v>
      </c>
      <c r="F138" s="124">
        <f t="shared" si="30"/>
        <v>9185</v>
      </c>
      <c r="G138" s="125" t="str">
        <f t="shared" si="31"/>
        <v>JUNIOR *</v>
      </c>
      <c r="H138" s="125" t="str">
        <f t="shared" si="32"/>
        <v>CPP</v>
      </c>
      <c r="I138" s="164">
        <f t="shared" si="33"/>
        <v>0.10581018518518519</v>
      </c>
      <c r="J138" s="70">
        <f t="shared" si="34"/>
        <v>2.7673611111111107E-2</v>
      </c>
      <c r="K138" s="70"/>
      <c r="M138" s="127">
        <f t="shared" si="35"/>
        <v>127</v>
      </c>
      <c r="P138" s="165">
        <v>127</v>
      </c>
      <c r="Q138" s="166">
        <v>115</v>
      </c>
      <c r="R138" s="167">
        <v>0.10581018518518519</v>
      </c>
      <c r="S138" s="168">
        <v>0</v>
      </c>
      <c r="T138" s="169"/>
      <c r="U138" s="170"/>
      <c r="V138" s="171"/>
      <c r="W138" s="172"/>
      <c r="X138" s="165"/>
      <c r="Y138" s="166"/>
      <c r="Z138" s="167"/>
      <c r="AA138" s="168"/>
      <c r="AB138" s="169"/>
      <c r="AC138" s="170"/>
      <c r="AD138" s="173"/>
      <c r="AE138" s="172"/>
      <c r="AF138" s="168"/>
      <c r="AG138" s="71"/>
    </row>
    <row r="139" spans="1:33" s="127" customFormat="1" ht="14.55" customHeight="1" x14ac:dyDescent="0.25">
      <c r="A139" s="45">
        <v>128</v>
      </c>
      <c r="B139" s="47">
        <v>96</v>
      </c>
      <c r="C139" s="121" t="str">
        <f t="shared" si="27"/>
        <v>GER19971221</v>
      </c>
      <c r="D139" s="122" t="str">
        <f t="shared" si="28"/>
        <v>BAUMANN Kian</v>
      </c>
      <c r="E139" s="123" t="str">
        <f t="shared" si="29"/>
        <v>RG BERLIN</v>
      </c>
      <c r="F139" s="124" t="str">
        <f t="shared" si="30"/>
        <v>BRE051095</v>
      </c>
      <c r="G139" s="125" t="str">
        <f t="shared" si="31"/>
        <v>JUNIOR</v>
      </c>
      <c r="H139" s="125" t="str">
        <f t="shared" si="32"/>
        <v>RGB</v>
      </c>
      <c r="I139" s="164">
        <f t="shared" si="33"/>
        <v>0.10581018518518519</v>
      </c>
      <c r="J139" s="70">
        <f t="shared" si="34"/>
        <v>2.7673611111111107E-2</v>
      </c>
      <c r="K139" s="70"/>
      <c r="M139" s="127">
        <f t="shared" si="35"/>
        <v>128</v>
      </c>
      <c r="P139" s="165">
        <v>128</v>
      </c>
      <c r="Q139" s="166">
        <v>96</v>
      </c>
      <c r="R139" s="167">
        <v>0.10581018518518519</v>
      </c>
      <c r="S139" s="168">
        <v>0</v>
      </c>
      <c r="T139" s="169"/>
      <c r="U139" s="170"/>
      <c r="V139" s="171"/>
      <c r="W139" s="172"/>
      <c r="X139" s="165"/>
      <c r="Y139" s="166"/>
      <c r="Z139" s="167"/>
      <c r="AA139" s="168"/>
      <c r="AB139" s="169"/>
      <c r="AC139" s="170"/>
      <c r="AD139" s="173"/>
      <c r="AE139" s="172"/>
      <c r="AF139" s="168"/>
      <c r="AG139" s="71"/>
    </row>
    <row r="140" spans="1:33" s="127" customFormat="1" ht="14.55" customHeight="1" x14ac:dyDescent="0.25">
      <c r="A140" s="45">
        <v>129</v>
      </c>
      <c r="B140" s="47">
        <v>142</v>
      </c>
      <c r="C140" s="121" t="str">
        <f t="shared" ref="C140:C171" si="36">VLOOKUP(B140,STARTOVKA,2,0)</f>
        <v>SVK20000502*</v>
      </c>
      <c r="D140" s="122" t="str">
        <f t="shared" ref="D140:D159" si="37">VLOOKUP(B140,STARTOVKA,3,0)</f>
        <v>BUČKO Adam</v>
      </c>
      <c r="E140" s="123" t="str">
        <f t="shared" ref="E140:E159" si="38">VLOOKUP(B140,STARTOVKA,4,0)</f>
        <v>MIX6 - CYKLISTICKÝ SPOLOK ŽILINA</v>
      </c>
      <c r="F140" s="124" t="str">
        <f t="shared" ref="F140:F159" si="39">VLOOKUP(B140,STARTOVKA,5,0)</f>
        <v>S 7046</v>
      </c>
      <c r="G140" s="125" t="str">
        <f t="shared" ref="G140:G159" si="40">VLOOKUP(B140,STARTOVKA,6,0)</f>
        <v>CADET</v>
      </c>
      <c r="H140" s="125" t="str">
        <f t="shared" ref="H140:H159" si="41">VLOOKUP(B140,STARTOVKA,7,0)</f>
        <v>FAV</v>
      </c>
      <c r="I140" s="164">
        <f t="shared" ref="I140:I148" si="42">SUM(R140,V140,Z140,AD140)-SUM(S140,W140,AA140,AE140)+AF140</f>
        <v>0.10581018518518519</v>
      </c>
      <c r="J140" s="70">
        <f t="shared" ref="J140:J171" si="43">I140-$I$12</f>
        <v>2.7673611111111107E-2</v>
      </c>
      <c r="K140" s="70"/>
      <c r="M140" s="127">
        <f t="shared" ref="M140:M148" si="44">A140</f>
        <v>129</v>
      </c>
      <c r="P140" s="165">
        <v>129</v>
      </c>
      <c r="Q140" s="166">
        <v>142</v>
      </c>
      <c r="R140" s="167">
        <v>0.10581018518518519</v>
      </c>
      <c r="S140" s="168">
        <v>0</v>
      </c>
      <c r="T140" s="169"/>
      <c r="U140" s="170"/>
      <c r="V140" s="171"/>
      <c r="W140" s="172"/>
      <c r="X140" s="165"/>
      <c r="Y140" s="166"/>
      <c r="Z140" s="167"/>
      <c r="AA140" s="168"/>
      <c r="AB140" s="169"/>
      <c r="AC140" s="170"/>
      <c r="AD140" s="173"/>
      <c r="AE140" s="172"/>
      <c r="AF140" s="168"/>
      <c r="AG140" s="71"/>
    </row>
    <row r="141" spans="1:33" s="127" customFormat="1" ht="14.55" customHeight="1" x14ac:dyDescent="0.25">
      <c r="A141" s="45">
        <v>130</v>
      </c>
      <c r="B141" s="47">
        <v>42</v>
      </c>
      <c r="C141" s="121" t="str">
        <f t="shared" si="36"/>
        <v>CZE19990122*</v>
      </c>
      <c r="D141" s="122" t="str">
        <f t="shared" si="37"/>
        <v xml:space="preserve">KABRHEL Milan </v>
      </c>
      <c r="E141" s="123" t="str">
        <f t="shared" si="38"/>
        <v xml:space="preserve">SKC TUFO PROSTĚJOV </v>
      </c>
      <c r="F141" s="124">
        <f t="shared" si="39"/>
        <v>3713</v>
      </c>
      <c r="G141" s="125" t="str">
        <f t="shared" si="40"/>
        <v>CADET</v>
      </c>
      <c r="H141" s="125" t="str">
        <f t="shared" si="41"/>
        <v>STP</v>
      </c>
      <c r="I141" s="164">
        <f t="shared" si="42"/>
        <v>0.10581018518518519</v>
      </c>
      <c r="J141" s="70">
        <f t="shared" si="43"/>
        <v>2.7673611111111107E-2</v>
      </c>
      <c r="K141" s="70"/>
      <c r="M141" s="127">
        <f t="shared" si="44"/>
        <v>130</v>
      </c>
      <c r="P141" s="165">
        <v>130</v>
      </c>
      <c r="Q141" s="166">
        <v>42</v>
      </c>
      <c r="R141" s="167">
        <v>0.10581018518518519</v>
      </c>
      <c r="S141" s="168">
        <v>0</v>
      </c>
      <c r="T141" s="169"/>
      <c r="U141" s="170"/>
      <c r="V141" s="171"/>
      <c r="W141" s="172"/>
      <c r="X141" s="165"/>
      <c r="Y141" s="166"/>
      <c r="Z141" s="167"/>
      <c r="AA141" s="168"/>
      <c r="AB141" s="169"/>
      <c r="AC141" s="170"/>
      <c r="AD141" s="173"/>
      <c r="AE141" s="172"/>
      <c r="AF141" s="168"/>
      <c r="AG141" s="71"/>
    </row>
    <row r="142" spans="1:33" s="127" customFormat="1" ht="14.55" customHeight="1" x14ac:dyDescent="0.25">
      <c r="A142" s="45">
        <v>131</v>
      </c>
      <c r="B142" s="47">
        <v>193</v>
      </c>
      <c r="C142" s="121" t="str">
        <f t="shared" si="36"/>
        <v>CZE20000328*</v>
      </c>
      <c r="D142" s="122" t="str">
        <f t="shared" si="37"/>
        <v xml:space="preserve">ROTTER Michal </v>
      </c>
      <c r="E142" s="123" t="str">
        <f t="shared" si="38"/>
        <v xml:space="preserve">MIX8 - SKP DUHA FORT LANŠKROUN </v>
      </c>
      <c r="F142" s="124">
        <f t="shared" si="39"/>
        <v>10354</v>
      </c>
      <c r="G142" s="125" t="str">
        <f t="shared" si="40"/>
        <v>CADET</v>
      </c>
      <c r="H142" s="125" t="str">
        <f t="shared" si="41"/>
        <v>SDL</v>
      </c>
      <c r="I142" s="164">
        <f t="shared" si="42"/>
        <v>0.10581018518518519</v>
      </c>
      <c r="J142" s="70">
        <f t="shared" si="43"/>
        <v>2.7673611111111107E-2</v>
      </c>
      <c r="K142" s="70"/>
      <c r="M142" s="127">
        <f t="shared" si="44"/>
        <v>131</v>
      </c>
      <c r="P142" s="165">
        <v>131</v>
      </c>
      <c r="Q142" s="166">
        <v>193</v>
      </c>
      <c r="R142" s="167">
        <v>0.10581018518518519</v>
      </c>
      <c r="S142" s="168">
        <v>0</v>
      </c>
      <c r="T142" s="169"/>
      <c r="U142" s="170"/>
      <c r="V142" s="171"/>
      <c r="W142" s="172"/>
      <c r="X142" s="165"/>
      <c r="Y142" s="166"/>
      <c r="Z142" s="167"/>
      <c r="AA142" s="168"/>
      <c r="AB142" s="169"/>
      <c r="AC142" s="170"/>
      <c r="AD142" s="173"/>
      <c r="AE142" s="172"/>
      <c r="AF142" s="168"/>
      <c r="AG142" s="71"/>
    </row>
    <row r="143" spans="1:33" s="127" customFormat="1" ht="14.55" customHeight="1" x14ac:dyDescent="0.25">
      <c r="A143" s="45">
        <v>132</v>
      </c>
      <c r="B143" s="47">
        <v>194</v>
      </c>
      <c r="C143" s="121" t="str">
        <f t="shared" si="36"/>
        <v>CZE20001026*</v>
      </c>
      <c r="D143" s="122" t="str">
        <f t="shared" si="37"/>
        <v>ANDRLE David</v>
      </c>
      <c r="E143" s="123" t="str">
        <f t="shared" si="38"/>
        <v xml:space="preserve">MIX8 - SKP DUHA FORT LANŠKROUN </v>
      </c>
      <c r="F143" s="124">
        <f t="shared" si="39"/>
        <v>8356</v>
      </c>
      <c r="G143" s="125" t="str">
        <f t="shared" si="40"/>
        <v>CADET</v>
      </c>
      <c r="H143" s="125" t="str">
        <f t="shared" si="41"/>
        <v>SDL</v>
      </c>
      <c r="I143" s="164">
        <f t="shared" si="42"/>
        <v>0.10581018518518519</v>
      </c>
      <c r="J143" s="70">
        <f t="shared" si="43"/>
        <v>2.7673611111111107E-2</v>
      </c>
      <c r="K143" s="70"/>
      <c r="M143" s="127">
        <f t="shared" si="44"/>
        <v>132</v>
      </c>
      <c r="P143" s="165">
        <v>132</v>
      </c>
      <c r="Q143" s="166">
        <v>194</v>
      </c>
      <c r="R143" s="167">
        <v>0.10581018518518519</v>
      </c>
      <c r="S143" s="168">
        <v>0</v>
      </c>
      <c r="T143" s="169"/>
      <c r="U143" s="170"/>
      <c r="V143" s="171"/>
      <c r="W143" s="172"/>
      <c r="X143" s="165"/>
      <c r="Y143" s="166"/>
      <c r="Z143" s="167"/>
      <c r="AA143" s="168"/>
      <c r="AB143" s="169"/>
      <c r="AC143" s="170"/>
      <c r="AD143" s="173"/>
      <c r="AE143" s="172"/>
      <c r="AF143" s="168"/>
      <c r="AG143" s="71"/>
    </row>
    <row r="144" spans="1:33" s="127" customFormat="1" ht="14.55" customHeight="1" x14ac:dyDescent="0.25">
      <c r="A144" s="45">
        <v>133</v>
      </c>
      <c r="B144" s="47">
        <v>125</v>
      </c>
      <c r="C144" s="121" t="str">
        <f t="shared" si="36"/>
        <v>CZE20001207*</v>
      </c>
      <c r="D144" s="122" t="str">
        <f t="shared" si="37"/>
        <v>ČECH Martin</v>
      </c>
      <c r="E144" s="123" t="str">
        <f t="shared" si="38"/>
        <v>MIX4 - KC KOOPERATIVA SG JABLONEC N.N</v>
      </c>
      <c r="F144" s="124">
        <f t="shared" si="39"/>
        <v>14424</v>
      </c>
      <c r="G144" s="125" t="str">
        <f t="shared" si="40"/>
        <v>CADET</v>
      </c>
      <c r="H144" s="125" t="str">
        <f t="shared" si="41"/>
        <v>KOO</v>
      </c>
      <c r="I144" s="164">
        <f t="shared" si="42"/>
        <v>0.10581018518518519</v>
      </c>
      <c r="J144" s="70">
        <f t="shared" si="43"/>
        <v>2.7673611111111107E-2</v>
      </c>
      <c r="K144" s="70"/>
      <c r="M144" s="127">
        <f t="shared" si="44"/>
        <v>133</v>
      </c>
      <c r="P144" s="165">
        <v>133</v>
      </c>
      <c r="Q144" s="166">
        <v>125</v>
      </c>
      <c r="R144" s="167">
        <v>0.10581018518518519</v>
      </c>
      <c r="S144" s="168">
        <v>0</v>
      </c>
      <c r="T144" s="169"/>
      <c r="U144" s="170"/>
      <c r="V144" s="171"/>
      <c r="W144" s="172"/>
      <c r="X144" s="165"/>
      <c r="Y144" s="166"/>
      <c r="Z144" s="167"/>
      <c r="AA144" s="168"/>
      <c r="AB144" s="169"/>
      <c r="AC144" s="170"/>
      <c r="AD144" s="173"/>
      <c r="AE144" s="172"/>
      <c r="AF144" s="168"/>
      <c r="AG144" s="71"/>
    </row>
    <row r="145" spans="1:33" s="127" customFormat="1" ht="14.55" customHeight="1" x14ac:dyDescent="0.25">
      <c r="A145" s="45">
        <v>134</v>
      </c>
      <c r="B145" s="47">
        <v>195</v>
      </c>
      <c r="C145" s="121" t="str">
        <f t="shared" si="36"/>
        <v>CZE19991006*</v>
      </c>
      <c r="D145" s="122" t="str">
        <f t="shared" si="37"/>
        <v>DUS Albert</v>
      </c>
      <c r="E145" s="123" t="str">
        <f t="shared" si="38"/>
        <v xml:space="preserve">MIX8 - WHIRLPOOL AUTHOR JUNIOR TEAM </v>
      </c>
      <c r="F145" s="124">
        <f t="shared" si="39"/>
        <v>20545</v>
      </c>
      <c r="G145" s="125" t="str">
        <f t="shared" si="40"/>
        <v>CADET</v>
      </c>
      <c r="H145" s="125" t="str">
        <f t="shared" si="41"/>
        <v>SDL</v>
      </c>
      <c r="I145" s="164">
        <f t="shared" si="42"/>
        <v>0.10581018518518519</v>
      </c>
      <c r="J145" s="70">
        <f t="shared" si="43"/>
        <v>2.7673611111111107E-2</v>
      </c>
      <c r="K145" s="70"/>
      <c r="M145" s="127">
        <f t="shared" si="44"/>
        <v>134</v>
      </c>
      <c r="P145" s="165">
        <v>134</v>
      </c>
      <c r="Q145" s="166">
        <v>195</v>
      </c>
      <c r="R145" s="167">
        <v>0.10581018518518519</v>
      </c>
      <c r="S145" s="168">
        <v>0</v>
      </c>
      <c r="T145" s="169"/>
      <c r="U145" s="170"/>
      <c r="V145" s="171"/>
      <c r="W145" s="172"/>
      <c r="X145" s="165"/>
      <c r="Y145" s="166"/>
      <c r="Z145" s="167"/>
      <c r="AA145" s="168"/>
      <c r="AB145" s="169"/>
      <c r="AC145" s="170"/>
      <c r="AD145" s="173"/>
      <c r="AE145" s="172"/>
      <c r="AF145" s="168"/>
      <c r="AG145" s="71"/>
    </row>
    <row r="146" spans="1:33" s="127" customFormat="1" ht="14.55" customHeight="1" x14ac:dyDescent="0.25">
      <c r="A146" s="45">
        <v>135</v>
      </c>
      <c r="B146" s="47">
        <v>191</v>
      </c>
      <c r="C146" s="121" t="str">
        <f t="shared" si="36"/>
        <v>CZE19990916*</v>
      </c>
      <c r="D146" s="122" t="str">
        <f t="shared" si="37"/>
        <v xml:space="preserve">HAUF Jan </v>
      </c>
      <c r="E146" s="123" t="str">
        <f t="shared" si="38"/>
        <v xml:space="preserve">MIX8 - SKP DUHA FORT LANŠKROUN </v>
      </c>
      <c r="F146" s="124">
        <f t="shared" si="39"/>
        <v>20687</v>
      </c>
      <c r="G146" s="125" t="str">
        <f t="shared" si="40"/>
        <v>CADET</v>
      </c>
      <c r="H146" s="125" t="str">
        <f t="shared" si="41"/>
        <v>SDL</v>
      </c>
      <c r="I146" s="164">
        <f t="shared" si="42"/>
        <v>0.10581018518518519</v>
      </c>
      <c r="J146" s="70">
        <f t="shared" si="43"/>
        <v>2.7673611111111107E-2</v>
      </c>
      <c r="K146" s="70"/>
      <c r="M146" s="127">
        <f t="shared" si="44"/>
        <v>135</v>
      </c>
      <c r="P146" s="165">
        <v>135</v>
      </c>
      <c r="Q146" s="166">
        <v>191</v>
      </c>
      <c r="R146" s="167">
        <v>0.10581018518518519</v>
      </c>
      <c r="S146" s="168">
        <v>0</v>
      </c>
      <c r="T146" s="169"/>
      <c r="U146" s="170"/>
      <c r="V146" s="171"/>
      <c r="W146" s="172"/>
      <c r="X146" s="165"/>
      <c r="Y146" s="166"/>
      <c r="Z146" s="167"/>
      <c r="AA146" s="168"/>
      <c r="AB146" s="169"/>
      <c r="AC146" s="170"/>
      <c r="AD146" s="173"/>
      <c r="AE146" s="172"/>
      <c r="AF146" s="168"/>
      <c r="AG146" s="71"/>
    </row>
    <row r="147" spans="1:33" s="127" customFormat="1" ht="14.55" customHeight="1" x14ac:dyDescent="0.25">
      <c r="A147" s="45">
        <v>136</v>
      </c>
      <c r="B147" s="47">
        <v>196</v>
      </c>
      <c r="C147" s="121" t="str">
        <f t="shared" si="36"/>
        <v>CZE19991009*</v>
      </c>
      <c r="D147" s="122" t="str">
        <f t="shared" si="37"/>
        <v xml:space="preserve">HOLFEUER Dan </v>
      </c>
      <c r="E147" s="123" t="str">
        <f t="shared" si="38"/>
        <v xml:space="preserve">MIX8 - CK MTB MARATON HLINSKO </v>
      </c>
      <c r="F147" s="124">
        <f t="shared" si="39"/>
        <v>20258</v>
      </c>
      <c r="G147" s="125" t="str">
        <f t="shared" si="40"/>
        <v>CADET</v>
      </c>
      <c r="H147" s="125" t="str">
        <f t="shared" si="41"/>
        <v>SDL</v>
      </c>
      <c r="I147" s="164">
        <f t="shared" si="42"/>
        <v>0.10581018518518519</v>
      </c>
      <c r="J147" s="70">
        <f t="shared" si="43"/>
        <v>2.7673611111111107E-2</v>
      </c>
      <c r="K147" s="70"/>
      <c r="M147" s="127">
        <f t="shared" si="44"/>
        <v>136</v>
      </c>
      <c r="P147" s="165">
        <v>136</v>
      </c>
      <c r="Q147" s="166">
        <v>196</v>
      </c>
      <c r="R147" s="167">
        <v>0.10581018518518519</v>
      </c>
      <c r="S147" s="168">
        <v>0</v>
      </c>
      <c r="T147" s="169"/>
      <c r="U147" s="170"/>
      <c r="V147" s="173"/>
      <c r="W147" s="172"/>
      <c r="X147" s="165"/>
      <c r="Y147" s="166"/>
      <c r="Z147" s="167"/>
      <c r="AA147" s="168"/>
      <c r="AB147" s="169"/>
      <c r="AC147" s="170"/>
      <c r="AD147" s="173"/>
      <c r="AE147" s="172"/>
      <c r="AF147" s="168"/>
      <c r="AG147" s="71"/>
    </row>
    <row r="148" spans="1:33" s="127" customFormat="1" ht="14.55" customHeight="1" x14ac:dyDescent="0.25">
      <c r="A148" s="45">
        <v>137</v>
      </c>
      <c r="B148" s="47">
        <v>124</v>
      </c>
      <c r="C148" s="121" t="str">
        <f t="shared" si="36"/>
        <v>CZE19830420</v>
      </c>
      <c r="D148" s="122" t="str">
        <f t="shared" si="37"/>
        <v xml:space="preserve">HAVLÍKOVÁ Pavla </v>
      </c>
      <c r="E148" s="123" t="str">
        <f t="shared" si="38"/>
        <v xml:space="preserve">MIX4 - YOUNG TELENET FIDEA CYCLING </v>
      </c>
      <c r="F148" s="124">
        <f t="shared" si="39"/>
        <v>5778</v>
      </c>
      <c r="G148" s="125" t="str">
        <f t="shared" si="40"/>
        <v xml:space="preserve">F*ELITE </v>
      </c>
      <c r="H148" s="125" t="str">
        <f t="shared" si="41"/>
        <v>KOO</v>
      </c>
      <c r="I148" s="164">
        <f t="shared" si="42"/>
        <v>0.10581018518518519</v>
      </c>
      <c r="J148" s="70">
        <f t="shared" si="43"/>
        <v>2.7673611111111107E-2</v>
      </c>
      <c r="K148" s="70"/>
      <c r="M148" s="127">
        <f t="shared" si="44"/>
        <v>137</v>
      </c>
      <c r="P148" s="165">
        <v>137</v>
      </c>
      <c r="Q148" s="166">
        <v>124</v>
      </c>
      <c r="R148" s="167">
        <v>0.10581018518518519</v>
      </c>
      <c r="S148" s="168">
        <v>0</v>
      </c>
      <c r="T148" s="169"/>
      <c r="U148" s="170"/>
      <c r="V148" s="171"/>
      <c r="W148" s="172"/>
      <c r="X148" s="165"/>
      <c r="Y148" s="166"/>
      <c r="Z148" s="167"/>
      <c r="AA148" s="168"/>
      <c r="AB148" s="169"/>
      <c r="AC148" s="170"/>
      <c r="AD148" s="173"/>
      <c r="AE148" s="172"/>
      <c r="AF148" s="168"/>
      <c r="AG148" s="71"/>
    </row>
    <row r="149" spans="1:33" s="127" customFormat="1" ht="14.55" customHeight="1" x14ac:dyDescent="0.25">
      <c r="A149" s="45"/>
      <c r="B149" s="47">
        <v>24</v>
      </c>
      <c r="C149" s="121" t="str">
        <f t="shared" si="36"/>
        <v>CZE20001025*</v>
      </c>
      <c r="D149" s="122" t="str">
        <f t="shared" si="37"/>
        <v xml:space="preserve">KLIMEK David </v>
      </c>
      <c r="E149" s="123" t="str">
        <f t="shared" si="38"/>
        <v xml:space="preserve">MAPEI MERIDA KAŇKOVSKÝ </v>
      </c>
      <c r="F149" s="124">
        <f t="shared" si="39"/>
        <v>19957</v>
      </c>
      <c r="G149" s="125" t="str">
        <f t="shared" si="40"/>
        <v>CADET</v>
      </c>
      <c r="H149" s="125" t="str">
        <f t="shared" si="41"/>
        <v>MAP</v>
      </c>
      <c r="I149" s="164" t="s">
        <v>148</v>
      </c>
      <c r="J149" s="70" t="s">
        <v>148</v>
      </c>
      <c r="K149" s="70"/>
      <c r="M149" s="45" t="s">
        <v>148</v>
      </c>
      <c r="P149" s="165"/>
      <c r="Q149" s="166">
        <v>24</v>
      </c>
      <c r="R149" s="167" t="s">
        <v>148</v>
      </c>
      <c r="S149" s="168"/>
      <c r="T149" s="169"/>
      <c r="U149" s="170"/>
      <c r="V149" s="171"/>
      <c r="W149" s="172"/>
      <c r="X149" s="165"/>
      <c r="Y149" s="166"/>
      <c r="Z149" s="167"/>
      <c r="AA149" s="168"/>
      <c r="AB149" s="169"/>
      <c r="AC149" s="170"/>
      <c r="AD149" s="173"/>
      <c r="AE149" s="172"/>
      <c r="AF149" s="168"/>
      <c r="AG149" s="71"/>
    </row>
    <row r="150" spans="1:33" s="127" customFormat="1" ht="14.55" customHeight="1" x14ac:dyDescent="0.25">
      <c r="A150" s="45"/>
      <c r="B150" s="47">
        <v>25</v>
      </c>
      <c r="C150" s="121" t="str">
        <f t="shared" si="36"/>
        <v>CZE20000911*</v>
      </c>
      <c r="D150" s="122" t="str">
        <f t="shared" si="37"/>
        <v xml:space="preserve">KMÍNEK Vojtěch </v>
      </c>
      <c r="E150" s="123" t="str">
        <f t="shared" si="38"/>
        <v xml:space="preserve">MAPEI MERIDA KAŇKOVSKÝ </v>
      </c>
      <c r="F150" s="124">
        <f t="shared" si="39"/>
        <v>7825</v>
      </c>
      <c r="G150" s="125" t="str">
        <f t="shared" si="40"/>
        <v>CADET</v>
      </c>
      <c r="H150" s="125" t="str">
        <f t="shared" si="41"/>
        <v>MAP</v>
      </c>
      <c r="I150" s="164" t="s">
        <v>148</v>
      </c>
      <c r="J150" s="70" t="s">
        <v>148</v>
      </c>
      <c r="K150" s="70"/>
      <c r="M150" s="45" t="s">
        <v>148</v>
      </c>
      <c r="P150" s="165"/>
      <c r="Q150" s="166">
        <v>25</v>
      </c>
      <c r="R150" s="167" t="s">
        <v>148</v>
      </c>
      <c r="S150" s="168"/>
      <c r="T150" s="169"/>
      <c r="U150" s="170"/>
      <c r="V150" s="173"/>
      <c r="W150" s="172"/>
      <c r="X150" s="165"/>
      <c r="Y150" s="166"/>
      <c r="Z150" s="167"/>
      <c r="AA150" s="168"/>
      <c r="AB150" s="169"/>
      <c r="AC150" s="170"/>
      <c r="AD150" s="173"/>
      <c r="AE150" s="172"/>
      <c r="AF150" s="168"/>
      <c r="AG150" s="71"/>
    </row>
    <row r="151" spans="1:33" s="127" customFormat="1" ht="14.55" customHeight="1" x14ac:dyDescent="0.25">
      <c r="A151" s="45"/>
      <c r="B151" s="47">
        <v>26</v>
      </c>
      <c r="C151" s="121" t="str">
        <f t="shared" si="36"/>
        <v>*CZE19980923</v>
      </c>
      <c r="D151" s="122" t="str">
        <f t="shared" si="37"/>
        <v xml:space="preserve">KUČERA Michal </v>
      </c>
      <c r="E151" s="123" t="str">
        <f t="shared" si="38"/>
        <v xml:space="preserve">MAPEI MERIDA KAŇKOVSKÝ </v>
      </c>
      <c r="F151" s="124">
        <f t="shared" si="39"/>
        <v>12268</v>
      </c>
      <c r="G151" s="125" t="str">
        <f t="shared" si="40"/>
        <v>JUNIOR *</v>
      </c>
      <c r="H151" s="125" t="str">
        <f t="shared" si="41"/>
        <v>MAP</v>
      </c>
      <c r="I151" s="164" t="s">
        <v>148</v>
      </c>
      <c r="J151" s="70" t="s">
        <v>148</v>
      </c>
      <c r="K151" s="70"/>
      <c r="M151" s="45" t="s">
        <v>148</v>
      </c>
      <c r="P151" s="165"/>
      <c r="Q151" s="166">
        <v>26</v>
      </c>
      <c r="R151" s="174" t="s">
        <v>148</v>
      </c>
      <c r="S151" s="168"/>
      <c r="T151" s="169"/>
      <c r="U151" s="170"/>
      <c r="V151" s="173"/>
      <c r="W151" s="172"/>
      <c r="X151" s="165"/>
      <c r="Y151" s="166"/>
      <c r="Z151" s="167"/>
      <c r="AA151" s="168"/>
      <c r="AB151" s="169"/>
      <c r="AC151" s="170"/>
      <c r="AD151" s="173"/>
      <c r="AE151" s="172"/>
      <c r="AF151" s="168"/>
      <c r="AG151" s="71"/>
    </row>
    <row r="152" spans="1:33" s="127" customFormat="1" ht="14.55" customHeight="1" x14ac:dyDescent="0.25">
      <c r="A152" s="45"/>
      <c r="B152" s="47">
        <v>65</v>
      </c>
      <c r="C152" s="121" t="str">
        <f t="shared" si="36"/>
        <v>BEL19991005*</v>
      </c>
      <c r="D152" s="122" t="str">
        <f t="shared" si="37"/>
        <v>MARIS Elias</v>
      </c>
      <c r="E152" s="123" t="str">
        <f t="shared" si="38"/>
        <v>WAC TEAM HOBOKEN</v>
      </c>
      <c r="F152" s="124">
        <f t="shared" si="39"/>
        <v>52305</v>
      </c>
      <c r="G152" s="125" t="str">
        <f t="shared" si="40"/>
        <v>CADET</v>
      </c>
      <c r="H152" s="125" t="str">
        <f t="shared" si="41"/>
        <v>WAC</v>
      </c>
      <c r="I152" s="164" t="s">
        <v>148</v>
      </c>
      <c r="J152" s="70" t="s">
        <v>148</v>
      </c>
      <c r="K152" s="70"/>
      <c r="M152" s="45" t="s">
        <v>148</v>
      </c>
      <c r="P152" s="165"/>
      <c r="Q152" s="166">
        <v>65</v>
      </c>
      <c r="R152" s="174" t="s">
        <v>148</v>
      </c>
      <c r="S152" s="168"/>
      <c r="T152" s="169"/>
      <c r="U152" s="170"/>
      <c r="V152" s="173"/>
      <c r="W152" s="172"/>
      <c r="X152" s="165"/>
      <c r="Y152" s="166"/>
      <c r="Z152" s="167"/>
      <c r="AA152" s="168"/>
      <c r="AB152" s="169"/>
      <c r="AC152" s="170"/>
      <c r="AD152" s="173"/>
      <c r="AE152" s="172"/>
      <c r="AF152" s="168"/>
      <c r="AG152" s="71"/>
    </row>
    <row r="153" spans="1:33" s="127" customFormat="1" ht="14.55" customHeight="1" x14ac:dyDescent="0.25">
      <c r="A153" s="45"/>
      <c r="B153" s="47">
        <v>67</v>
      </c>
      <c r="C153" s="121" t="str">
        <f t="shared" si="36"/>
        <v>BEL19991106*</v>
      </c>
      <c r="D153" s="122" t="str">
        <f t="shared" si="37"/>
        <v>VAN OEVELEN Wanne</v>
      </c>
      <c r="E153" s="123" t="str">
        <f t="shared" si="38"/>
        <v>WAC TEAM HOBOKEN</v>
      </c>
      <c r="F153" s="124">
        <f t="shared" si="39"/>
        <v>61440</v>
      </c>
      <c r="G153" s="125" t="str">
        <f t="shared" si="40"/>
        <v>CADET</v>
      </c>
      <c r="H153" s="125" t="str">
        <f t="shared" si="41"/>
        <v>WAC</v>
      </c>
      <c r="I153" s="164" t="s">
        <v>148</v>
      </c>
      <c r="J153" s="70" t="s">
        <v>148</v>
      </c>
      <c r="K153" s="70"/>
      <c r="M153" s="45" t="s">
        <v>148</v>
      </c>
      <c r="P153" s="165"/>
      <c r="Q153" s="166">
        <v>67</v>
      </c>
      <c r="R153" s="174" t="s">
        <v>148</v>
      </c>
      <c r="S153" s="168"/>
      <c r="T153" s="169"/>
      <c r="U153" s="170"/>
      <c r="V153" s="173"/>
      <c r="W153" s="172"/>
      <c r="X153" s="165"/>
      <c r="Y153" s="166"/>
      <c r="Z153" s="167"/>
      <c r="AA153" s="168"/>
      <c r="AB153" s="169"/>
      <c r="AC153" s="170"/>
      <c r="AD153" s="173"/>
      <c r="AE153" s="172"/>
      <c r="AF153" s="168"/>
      <c r="AG153" s="71"/>
    </row>
    <row r="154" spans="1:33" s="127" customFormat="1" ht="14.55" customHeight="1" x14ac:dyDescent="0.25">
      <c r="A154" s="45"/>
      <c r="B154" s="47">
        <v>69</v>
      </c>
      <c r="C154" s="121" t="str">
        <f t="shared" si="36"/>
        <v>BEL19990101*</v>
      </c>
      <c r="D154" s="122" t="str">
        <f t="shared" si="37"/>
        <v>VAN LAER Jan</v>
      </c>
      <c r="E154" s="123" t="str">
        <f t="shared" si="38"/>
        <v>WAC TEAM HOBOKEN</v>
      </c>
      <c r="F154" s="124">
        <f t="shared" si="39"/>
        <v>49880</v>
      </c>
      <c r="G154" s="125" t="str">
        <f t="shared" si="40"/>
        <v>CADET</v>
      </c>
      <c r="H154" s="125" t="str">
        <f t="shared" si="41"/>
        <v>WAC</v>
      </c>
      <c r="I154" s="164" t="s">
        <v>148</v>
      </c>
      <c r="J154" s="70" t="s">
        <v>148</v>
      </c>
      <c r="K154" s="70"/>
      <c r="M154" s="45" t="s">
        <v>148</v>
      </c>
      <c r="P154" s="165"/>
      <c r="Q154" s="166">
        <v>69</v>
      </c>
      <c r="R154" s="167" t="s">
        <v>148</v>
      </c>
      <c r="S154" s="168"/>
      <c r="T154" s="169"/>
      <c r="U154" s="170"/>
      <c r="V154" s="173"/>
      <c r="W154" s="172"/>
      <c r="X154" s="165"/>
      <c r="Y154" s="166"/>
      <c r="Z154" s="167"/>
      <c r="AA154" s="168"/>
      <c r="AB154" s="169"/>
      <c r="AC154" s="170"/>
      <c r="AD154" s="173"/>
      <c r="AE154" s="172"/>
      <c r="AF154" s="168"/>
      <c r="AG154" s="71"/>
    </row>
    <row r="155" spans="1:33" s="127" customFormat="1" ht="14.55" customHeight="1" x14ac:dyDescent="0.25">
      <c r="A155" s="45"/>
      <c r="B155" s="47">
        <v>149</v>
      </c>
      <c r="C155" s="121" t="str">
        <f t="shared" si="36"/>
        <v>*CZE19980519</v>
      </c>
      <c r="D155" s="122" t="str">
        <f t="shared" si="37"/>
        <v xml:space="preserve">VOSTREJŽ David </v>
      </c>
      <c r="E155" s="123" t="str">
        <f t="shared" si="38"/>
        <v xml:space="preserve">MIX6 - TJ FAVORIT BRNO </v>
      </c>
      <c r="F155" s="124">
        <f t="shared" si="39"/>
        <v>8769</v>
      </c>
      <c r="G155" s="125" t="str">
        <f t="shared" si="40"/>
        <v>JUNIOR *</v>
      </c>
      <c r="H155" s="125" t="str">
        <f t="shared" si="41"/>
        <v>FAV</v>
      </c>
      <c r="I155" s="164" t="s">
        <v>148</v>
      </c>
      <c r="J155" s="70" t="s">
        <v>148</v>
      </c>
      <c r="K155" s="70"/>
      <c r="M155" s="45" t="s">
        <v>148</v>
      </c>
      <c r="P155" s="165"/>
      <c r="Q155" s="166">
        <v>149</v>
      </c>
      <c r="R155" s="167" t="s">
        <v>148</v>
      </c>
      <c r="S155" s="168"/>
      <c r="T155" s="169"/>
      <c r="U155" s="170"/>
      <c r="V155" s="173"/>
      <c r="W155" s="172"/>
      <c r="X155" s="165"/>
      <c r="Y155" s="166"/>
      <c r="Z155" s="167"/>
      <c r="AA155" s="168"/>
      <c r="AB155" s="169"/>
      <c r="AC155" s="170"/>
      <c r="AD155" s="173"/>
      <c r="AE155" s="172"/>
      <c r="AF155" s="168"/>
      <c r="AG155" s="71"/>
    </row>
    <row r="156" spans="1:33" s="127" customFormat="1" ht="14.55" customHeight="1" x14ac:dyDescent="0.25">
      <c r="A156" s="45"/>
      <c r="B156" s="47">
        <v>160</v>
      </c>
      <c r="C156" s="121" t="str">
        <f t="shared" si="36"/>
        <v>*POL19980509</v>
      </c>
      <c r="D156" s="122" t="str">
        <f t="shared" si="37"/>
        <v>WŁODARCZYK Damian</v>
      </c>
      <c r="E156" s="123" t="str">
        <f t="shared" si="38"/>
        <v>MIX7 - MLKS WIELUŃ</v>
      </c>
      <c r="F156" s="124" t="str">
        <f t="shared" si="39"/>
        <v>LOD057</v>
      </c>
      <c r="G156" s="125" t="str">
        <f t="shared" si="40"/>
        <v>JUNIOR *</v>
      </c>
      <c r="H156" s="125" t="str">
        <f t="shared" si="41"/>
        <v>RLM</v>
      </c>
      <c r="I156" s="164" t="s">
        <v>148</v>
      </c>
      <c r="J156" s="70" t="s">
        <v>148</v>
      </c>
      <c r="K156" s="70"/>
      <c r="M156" s="45" t="s">
        <v>148</v>
      </c>
      <c r="P156" s="165"/>
      <c r="Q156" s="166">
        <v>160</v>
      </c>
      <c r="R156" s="167" t="s">
        <v>148</v>
      </c>
      <c r="S156" s="168"/>
      <c r="T156" s="169"/>
      <c r="U156" s="170"/>
      <c r="V156" s="173"/>
      <c r="W156" s="172"/>
      <c r="X156" s="165"/>
      <c r="Y156" s="166"/>
      <c r="Z156" s="167"/>
      <c r="AA156" s="168"/>
      <c r="AB156" s="169"/>
      <c r="AC156" s="170"/>
      <c r="AD156" s="173"/>
      <c r="AE156" s="172"/>
      <c r="AF156" s="168"/>
      <c r="AG156" s="71"/>
    </row>
    <row r="157" spans="1:33" s="127" customFormat="1" ht="14.55" customHeight="1" x14ac:dyDescent="0.25">
      <c r="A157" s="45"/>
      <c r="B157" s="47">
        <v>164</v>
      </c>
      <c r="C157" s="121" t="str">
        <f t="shared" si="36"/>
        <v>AUT19971207</v>
      </c>
      <c r="D157" s="122" t="str">
        <f t="shared" si="37"/>
        <v>MOSER Max</v>
      </c>
      <c r="E157" s="123" t="str">
        <f t="shared" si="38"/>
        <v>LRV STEIERMARK</v>
      </c>
      <c r="F157" s="124">
        <f t="shared" si="39"/>
        <v>100588</v>
      </c>
      <c r="G157" s="125" t="str">
        <f t="shared" si="40"/>
        <v xml:space="preserve">JUNIOR </v>
      </c>
      <c r="H157" s="125" t="str">
        <f t="shared" si="41"/>
        <v>LRS</v>
      </c>
      <c r="I157" s="164" t="s">
        <v>148</v>
      </c>
      <c r="J157" s="70" t="s">
        <v>148</v>
      </c>
      <c r="K157" s="70"/>
      <c r="M157" s="45" t="s">
        <v>148</v>
      </c>
      <c r="P157" s="165"/>
      <c r="Q157" s="166">
        <v>164</v>
      </c>
      <c r="R157" s="167" t="s">
        <v>148</v>
      </c>
      <c r="S157" s="168"/>
      <c r="T157" s="169"/>
      <c r="U157" s="170"/>
      <c r="V157" s="173"/>
      <c r="W157" s="172"/>
      <c r="X157" s="165"/>
      <c r="Y157" s="166"/>
      <c r="Z157" s="167"/>
      <c r="AA157" s="168"/>
      <c r="AB157" s="169"/>
      <c r="AC157" s="170"/>
      <c r="AD157" s="173"/>
      <c r="AE157" s="172"/>
      <c r="AF157" s="168"/>
      <c r="AG157" s="71"/>
    </row>
    <row r="158" spans="1:33" s="127" customFormat="1" ht="14.55" customHeight="1" x14ac:dyDescent="0.25">
      <c r="A158" s="45"/>
      <c r="B158" s="47">
        <v>192</v>
      </c>
      <c r="C158" s="121" t="str">
        <f t="shared" si="36"/>
        <v>CZE20000704*</v>
      </c>
      <c r="D158" s="122" t="str">
        <f t="shared" si="37"/>
        <v xml:space="preserve">MICHAL Daniel </v>
      </c>
      <c r="E158" s="123" t="str">
        <f t="shared" si="38"/>
        <v xml:space="preserve">MIX8 - SKP DUHA FORT LANŠKROUN </v>
      </c>
      <c r="F158" s="124">
        <f t="shared" si="39"/>
        <v>10728</v>
      </c>
      <c r="G158" s="125" t="str">
        <f t="shared" si="40"/>
        <v>CADET</v>
      </c>
      <c r="H158" s="125" t="str">
        <f t="shared" si="41"/>
        <v>SDL</v>
      </c>
      <c r="I158" s="164" t="s">
        <v>148</v>
      </c>
      <c r="J158" s="70" t="s">
        <v>148</v>
      </c>
      <c r="K158" s="70"/>
      <c r="M158" s="45" t="s">
        <v>148</v>
      </c>
      <c r="P158" s="165"/>
      <c r="Q158" s="166">
        <v>192</v>
      </c>
      <c r="R158" s="167" t="s">
        <v>148</v>
      </c>
      <c r="S158" s="168"/>
      <c r="T158" s="169"/>
      <c r="U158" s="170"/>
      <c r="V158" s="173"/>
      <c r="W158" s="172"/>
      <c r="X158" s="165"/>
      <c r="Y158" s="166"/>
      <c r="Z158" s="167"/>
      <c r="AA158" s="168"/>
      <c r="AB158" s="169"/>
      <c r="AC158" s="170"/>
      <c r="AD158" s="173"/>
      <c r="AE158" s="172"/>
      <c r="AF158" s="168"/>
      <c r="AG158" s="71"/>
    </row>
    <row r="159" spans="1:33" s="127" customFormat="1" ht="14.55" customHeight="1" x14ac:dyDescent="0.25">
      <c r="A159" s="45"/>
      <c r="B159" s="47">
        <v>197</v>
      </c>
      <c r="C159" s="121" t="str">
        <f t="shared" si="36"/>
        <v>*CZE19980830</v>
      </c>
      <c r="D159" s="122" t="str">
        <f t="shared" si="37"/>
        <v xml:space="preserve">PARMA Dominik </v>
      </c>
      <c r="E159" s="123" t="str">
        <f t="shared" si="38"/>
        <v xml:space="preserve">MIX8 - TJ UNIČOV </v>
      </c>
      <c r="F159" s="124">
        <f t="shared" si="39"/>
        <v>20788</v>
      </c>
      <c r="G159" s="125" t="str">
        <f t="shared" si="40"/>
        <v>JUNIOR *</v>
      </c>
      <c r="H159" s="125" t="str">
        <f t="shared" si="41"/>
        <v>SDL</v>
      </c>
      <c r="I159" s="164" t="s">
        <v>148</v>
      </c>
      <c r="J159" s="70" t="s">
        <v>148</v>
      </c>
      <c r="K159" s="70"/>
      <c r="M159" s="45" t="s">
        <v>148</v>
      </c>
      <c r="P159" s="165"/>
      <c r="Q159" s="166">
        <v>197</v>
      </c>
      <c r="R159" s="167" t="s">
        <v>148</v>
      </c>
      <c r="S159" s="168"/>
      <c r="T159" s="169"/>
      <c r="U159" s="170"/>
      <c r="V159" s="173"/>
      <c r="W159" s="172"/>
      <c r="X159" s="165"/>
      <c r="Y159" s="166"/>
      <c r="Z159" s="167"/>
      <c r="AA159" s="168"/>
      <c r="AB159" s="169"/>
      <c r="AC159" s="170"/>
      <c r="AD159" s="173"/>
      <c r="AE159" s="172"/>
      <c r="AF159" s="168"/>
      <c r="AG159" s="71"/>
    </row>
    <row r="160" spans="1:33" s="3" customFormat="1" ht="14.4" x14ac:dyDescent="0.3">
      <c r="A160" s="54"/>
      <c r="B160" s="55" t="str">
        <f>NRIDERS1</f>
        <v>počet závodíků / num. of riders: 148</v>
      </c>
      <c r="C160" s="55"/>
      <c r="D160" s="44"/>
      <c r="E160" s="73"/>
      <c r="F160" s="54"/>
      <c r="G160" s="54"/>
      <c r="H160" s="54"/>
      <c r="I160" s="54"/>
      <c r="J160" s="54"/>
      <c r="K160" s="54"/>
      <c r="M160" s="3" t="s">
        <v>135</v>
      </c>
    </row>
    <row r="161" spans="1:11" s="57" customFormat="1" ht="13.2" x14ac:dyDescent="0.25"/>
    <row r="162" spans="1:11" s="57" customFormat="1" ht="17.25" customHeight="1" x14ac:dyDescent="0.3">
      <c r="B162" s="147"/>
      <c r="C162" s="334" t="str">
        <f>NOSI2</f>
        <v>Nositelé trikotů pro druhou etapu / Jersey holders for the second stage</v>
      </c>
      <c r="D162" s="149"/>
      <c r="E162" s="149"/>
      <c r="F162" s="149"/>
    </row>
    <row r="163" spans="1:11" s="57" customFormat="1" ht="5.25" customHeight="1" x14ac:dyDescent="0.3">
      <c r="B163" s="2"/>
      <c r="C163" s="150"/>
      <c r="D163" s="151"/>
      <c r="E163" s="152"/>
    </row>
    <row r="164" spans="1:11" s="57" customFormat="1" ht="15" customHeight="1" x14ac:dyDescent="0.3">
      <c r="B164" s="128">
        <v>34</v>
      </c>
      <c r="C164" s="36"/>
      <c r="D164" s="129" t="s">
        <v>44</v>
      </c>
      <c r="E164" s="130" t="str">
        <f xml:space="preserve"> "    " &amp; B164 &amp; IF(LEN(B164)=2,"  ",IF(LEN(B164)=1,"    ","")) &amp; "  -   "&amp; VLOOKUP(B164,STARTOVKA,3)</f>
        <v xml:space="preserve">    34    -   FRANZ Toni</v>
      </c>
    </row>
    <row r="165" spans="1:11" s="57" customFormat="1" ht="15" customHeight="1" x14ac:dyDescent="0.3">
      <c r="B165" s="128">
        <v>2</v>
      </c>
      <c r="C165" s="36"/>
      <c r="D165" s="131" t="s">
        <v>154</v>
      </c>
      <c r="E165" s="130" t="str">
        <f xml:space="preserve"> "    " &amp; B165 &amp; IF(LEN(B165)=2,"  ",IF(LEN(B165)=1,"    ","")) &amp; "  -   "&amp; VLOOKUP(B165,STARTOVKA,3)</f>
        <v xml:space="preserve">    2      -   BERAN Andy</v>
      </c>
    </row>
    <row r="166" spans="1:11" s="57" customFormat="1" ht="15" customHeight="1" x14ac:dyDescent="0.3">
      <c r="B166" s="128">
        <v>85</v>
      </c>
      <c r="C166" s="36"/>
      <c r="D166" s="129" t="s">
        <v>45</v>
      </c>
      <c r="E166" s="130" t="str">
        <f xml:space="preserve"> "    " &amp; B166 &amp; IF(LEN(B166)=2,"  ",IF(LEN(B166)=1,"    ","")) &amp; "  -   "&amp; VLOOKUP(B166,STARTOVKA,3)</f>
        <v xml:space="preserve">    85    -   URNAUER Lauritz</v>
      </c>
    </row>
    <row r="167" spans="1:11" s="57" customFormat="1" ht="15" customHeight="1" x14ac:dyDescent="0.3">
      <c r="B167" s="128">
        <v>84</v>
      </c>
      <c r="C167" s="36"/>
      <c r="D167" s="131" t="s">
        <v>686</v>
      </c>
      <c r="E167" s="130" t="str">
        <f xml:space="preserve"> "    " &amp; B167 &amp; IF(LEN(B167)=2,"  ",IF(LEN(B167)=1,"    ","")) &amp; "  -   "&amp; VLOOKUP(B167,STARTOVKA,3)</f>
        <v xml:space="preserve">    84    -   RUDOLPH Poul</v>
      </c>
    </row>
    <row r="168" spans="1:11" s="57" customFormat="1" ht="15" customHeight="1" x14ac:dyDescent="0.3">
      <c r="B168" s="128"/>
      <c r="C168" s="36"/>
      <c r="D168" s="131"/>
      <c r="E168" s="130"/>
    </row>
    <row r="169" spans="1:11" s="57" customFormat="1" ht="15" customHeight="1" x14ac:dyDescent="0.3">
      <c r="B169" s="128"/>
      <c r="C169" s="36"/>
      <c r="D169" s="131"/>
      <c r="E169" s="130"/>
    </row>
    <row r="170" spans="1:11" s="57" customFormat="1" ht="15" customHeight="1" x14ac:dyDescent="0.3">
      <c r="B170" s="128"/>
      <c r="C170" s="36"/>
      <c r="D170" s="131"/>
      <c r="E170" s="130"/>
    </row>
    <row r="171" spans="1:11" s="57" customFormat="1" ht="15" customHeight="1" x14ac:dyDescent="0.3">
      <c r="B171" s="128"/>
      <c r="C171" s="36"/>
      <c r="D171" s="131"/>
      <c r="E171" s="130"/>
    </row>
    <row r="172" spans="1:11" ht="6" customHeight="1" x14ac:dyDescent="0.25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</row>
    <row r="173" spans="1:11" x14ac:dyDescent="0.25">
      <c r="A173" s="76"/>
      <c r="B173" s="76"/>
      <c r="C173" s="77"/>
      <c r="D173" s="76"/>
      <c r="E173" s="76"/>
      <c r="F173" s="76"/>
      <c r="G173" s="76"/>
      <c r="H173" s="76"/>
      <c r="I173" s="76"/>
      <c r="J173" s="76"/>
      <c r="K173" s="76"/>
    </row>
    <row r="174" spans="1:11" x14ac:dyDescent="0.25">
      <c r="A174" s="76"/>
      <c r="B174" s="76"/>
      <c r="C174" s="77"/>
      <c r="D174" s="76"/>
      <c r="E174" s="76"/>
      <c r="F174" s="76"/>
      <c r="G174" s="76"/>
      <c r="H174" s="76"/>
      <c r="I174" s="76"/>
      <c r="J174" s="76"/>
      <c r="K174" s="76"/>
    </row>
    <row r="175" spans="1:11" x14ac:dyDescent="0.25">
      <c r="A175" s="76"/>
      <c r="B175" s="76"/>
      <c r="C175" s="77"/>
      <c r="D175" s="76"/>
      <c r="E175" s="76"/>
      <c r="F175" s="76"/>
      <c r="G175" s="76"/>
      <c r="H175" s="76"/>
      <c r="I175" s="76"/>
      <c r="J175" s="76"/>
      <c r="K175" s="76"/>
    </row>
    <row r="176" spans="1:11" x14ac:dyDescent="0.25">
      <c r="A176" s="76"/>
      <c r="B176" s="76"/>
      <c r="C176" s="77"/>
      <c r="D176" s="76"/>
      <c r="E176" s="76"/>
      <c r="F176" s="76"/>
      <c r="G176" s="76"/>
      <c r="H176" s="76"/>
      <c r="I176" s="76"/>
      <c r="J176" s="76"/>
      <c r="K176" s="76"/>
    </row>
    <row r="177" spans="1:11" x14ac:dyDescent="0.25">
      <c r="A177" s="76"/>
      <c r="B177" s="76"/>
      <c r="C177" s="77"/>
      <c r="D177" s="76"/>
      <c r="E177" s="76"/>
      <c r="F177" s="76"/>
      <c r="G177" s="76"/>
      <c r="H177" s="76"/>
      <c r="I177" s="76"/>
      <c r="J177" s="76"/>
      <c r="K177" s="76"/>
    </row>
    <row r="178" spans="1:11" ht="18.600000000000001" customHeight="1" x14ac:dyDescent="0.25">
      <c r="A178" s="76"/>
      <c r="B178" s="76"/>
      <c r="C178" s="77"/>
      <c r="D178" s="76"/>
      <c r="E178" s="76"/>
      <c r="F178" s="76"/>
      <c r="G178" s="76"/>
      <c r="H178" s="76"/>
      <c r="I178" s="76"/>
      <c r="J178" s="76"/>
      <c r="K178" s="76"/>
    </row>
    <row r="179" spans="1:11" ht="6" customHeight="1" x14ac:dyDescent="0.25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</row>
    <row r="180" spans="1:11" ht="11.4" customHeight="1" x14ac:dyDescent="0.25">
      <c r="A180" s="335" t="s">
        <v>40</v>
      </c>
      <c r="B180" s="335"/>
      <c r="C180" s="335"/>
      <c r="D180" s="335"/>
      <c r="E180" s="335"/>
      <c r="F180" s="335"/>
      <c r="G180" s="335"/>
      <c r="H180" s="335"/>
      <c r="I180" s="335"/>
      <c r="J180" s="335"/>
      <c r="K180" s="335"/>
    </row>
    <row r="181" spans="1:11" s="57" customFormat="1" ht="12" customHeight="1" x14ac:dyDescent="0.3">
      <c r="B181" s="175"/>
      <c r="C181" s="11"/>
      <c r="D181" s="176"/>
      <c r="F181" s="154"/>
      <c r="G181" s="154"/>
      <c r="H181" s="154"/>
      <c r="I181" s="154"/>
      <c r="J181" s="154"/>
    </row>
    <row r="182" spans="1:11" s="57" customFormat="1" ht="12" customHeight="1" x14ac:dyDescent="0.3">
      <c r="B182" s="175"/>
      <c r="C182" s="11"/>
      <c r="D182" s="176"/>
      <c r="F182" s="154"/>
      <c r="G182" s="154"/>
      <c r="H182" s="154"/>
      <c r="I182" s="154"/>
      <c r="J182" s="154"/>
    </row>
    <row r="183" spans="1:11" s="57" customFormat="1" ht="12" customHeight="1" x14ac:dyDescent="0.3">
      <c r="B183" s="175"/>
      <c r="C183" s="11"/>
      <c r="D183" s="176"/>
      <c r="F183" s="154"/>
      <c r="G183" s="154"/>
      <c r="H183" s="154"/>
      <c r="I183" s="154"/>
      <c r="J183" s="154"/>
    </row>
    <row r="184" spans="1:11" s="57" customFormat="1" ht="12" customHeight="1" x14ac:dyDescent="0.3">
      <c r="B184" s="175"/>
      <c r="C184" s="11"/>
      <c r="D184" s="176"/>
      <c r="F184" s="130"/>
      <c r="G184" s="130"/>
      <c r="H184" s="130"/>
      <c r="I184" s="130"/>
      <c r="J184" s="130"/>
    </row>
    <row r="185" spans="1:11" s="57" customFormat="1" ht="12" customHeight="1" x14ac:dyDescent="0.3">
      <c r="B185" s="175"/>
      <c r="C185" s="11"/>
      <c r="D185" s="176"/>
      <c r="F185" s="154"/>
      <c r="G185" s="154"/>
      <c r="H185" s="154"/>
      <c r="I185" s="154"/>
      <c r="J185" s="154"/>
    </row>
    <row r="186" spans="1:11" s="57" customFormat="1" ht="12" customHeight="1" x14ac:dyDescent="0.3">
      <c r="B186" s="175"/>
      <c r="C186" s="11"/>
      <c r="D186" s="176"/>
      <c r="F186" s="154"/>
      <c r="G186" s="154"/>
      <c r="H186" s="154"/>
      <c r="I186" s="154"/>
      <c r="J186" s="154"/>
    </row>
    <row r="187" spans="1:11" s="57" customFormat="1" ht="12" customHeight="1" x14ac:dyDescent="0.3">
      <c r="B187" s="175"/>
      <c r="C187" s="11"/>
      <c r="D187" s="176"/>
      <c r="F187" s="154"/>
      <c r="G187" s="154"/>
      <c r="H187" s="154"/>
      <c r="I187" s="154"/>
      <c r="J187" s="154"/>
    </row>
    <row r="188" spans="1:11" s="57" customFormat="1" ht="12" customHeight="1" x14ac:dyDescent="0.3">
      <c r="B188" s="175"/>
      <c r="C188" s="11"/>
      <c r="D188" s="176"/>
      <c r="F188" s="154"/>
      <c r="G188" s="154"/>
      <c r="H188" s="154"/>
      <c r="I188" s="154"/>
      <c r="J188" s="154"/>
    </row>
    <row r="189" spans="1:11" s="57" customFormat="1" ht="12" customHeight="1" x14ac:dyDescent="0.3">
      <c r="B189" s="175"/>
      <c r="C189" s="11"/>
      <c r="D189" s="176"/>
      <c r="F189" s="154"/>
      <c r="G189" s="154"/>
      <c r="H189" s="154"/>
      <c r="I189" s="154"/>
      <c r="J189" s="154"/>
    </row>
    <row r="190" spans="1:11" s="57" customFormat="1" ht="12" customHeight="1" x14ac:dyDescent="0.3">
      <c r="B190" s="175"/>
      <c r="C190" s="11"/>
      <c r="D190" s="176"/>
      <c r="F190" s="154"/>
      <c r="G190" s="154"/>
      <c r="H190" s="154"/>
      <c r="I190" s="154"/>
      <c r="J190" s="154"/>
    </row>
    <row r="191" spans="1:11" s="57" customFormat="1" ht="12" customHeight="1" x14ac:dyDescent="0.3">
      <c r="B191" s="177"/>
      <c r="C191" s="11"/>
      <c r="D191" s="176"/>
      <c r="F191" s="154"/>
      <c r="G191" s="154"/>
      <c r="H191" s="154"/>
      <c r="I191" s="154"/>
      <c r="J191" s="154"/>
    </row>
  </sheetData>
  <sortState ref="B12:S148">
    <sortCondition ref="I12:I148"/>
    <sortCondition ref="P12:P148"/>
  </sortState>
  <mergeCells count="10">
    <mergeCell ref="A180:K180"/>
    <mergeCell ref="T10:W10"/>
    <mergeCell ref="X10:AA10"/>
    <mergeCell ref="AB10:AE10"/>
    <mergeCell ref="A1:K1"/>
    <mergeCell ref="A2:K2"/>
    <mergeCell ref="D3:H3"/>
    <mergeCell ref="A5:K5"/>
    <mergeCell ref="A10:K10"/>
    <mergeCell ref="P10:S10"/>
  </mergeCells>
  <conditionalFormatting sqref="M12:M148">
    <cfRule type="expression" dxfId="2" priority="1">
      <formula>AND(A12=0,M12&lt;&gt;"")</formula>
    </cfRule>
  </conditionalFormatting>
  <pageMargins left="0.74803149606299213" right="0.55118110236220474" top="0.35433070866141736" bottom="0.31496062992125984" header="0.31496062992125984" footer="0.19685039370078741"/>
  <pageSetup paperSize="9" scale="6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130"/>
  <sheetViews>
    <sheetView zoomScaleNormal="100" workbookViewId="0">
      <selection sqref="A1:T1"/>
    </sheetView>
  </sheetViews>
  <sheetFormatPr defaultColWidth="8.88671875" defaultRowHeight="13.8" outlineLevelRow="1" outlineLevelCol="1" x14ac:dyDescent="0.3"/>
  <cols>
    <col min="1" max="1" width="4.88671875" style="78" customWidth="1"/>
    <col min="2" max="2" width="5.44140625" style="78" customWidth="1"/>
    <col min="3" max="3" width="12" style="183" customWidth="1"/>
    <col min="4" max="4" width="21.5546875" style="78" customWidth="1"/>
    <col min="5" max="5" width="37.109375" style="78" customWidth="1"/>
    <col min="6" max="19" width="3.88671875" style="78" customWidth="1"/>
    <col min="20" max="20" width="5.5546875" style="78" customWidth="1"/>
    <col min="21" max="21" width="6.6640625" style="195" customWidth="1"/>
    <col min="22" max="22" width="3.88671875" style="78" hidden="1" customWidth="1" outlineLevel="1"/>
    <col min="23" max="24" width="4.6640625" style="180" hidden="1" customWidth="1" outlineLevel="1"/>
    <col min="25" max="27" width="3.6640625" style="180" hidden="1" customWidth="1" outlineLevel="1"/>
    <col min="28" max="28" width="4.6640625" style="180" hidden="1" customWidth="1" outlineLevel="1"/>
    <col min="29" max="30" width="3.6640625" style="180" hidden="1" customWidth="1" outlineLevel="1"/>
    <col min="31" max="31" width="8.88671875" style="18" hidden="1" customWidth="1" outlineLevel="1"/>
    <col min="32" max="35" width="3.6640625" style="181" hidden="1" customWidth="1" outlineLevel="1"/>
    <col min="36" max="36" width="3.6640625" style="181" customWidth="1" collapsed="1"/>
    <col min="37" max="37" width="8.88671875" style="181"/>
    <col min="38" max="16384" width="8.88671875" style="18"/>
  </cols>
  <sheetData>
    <row r="1" spans="1:37" ht="33.75" customHeight="1" x14ac:dyDescent="0.3">
      <c r="A1" s="370" t="str">
        <f>CTRL!B7</f>
        <v>R E G I O N E M   O R L I C K A   L A N Š K R O U N   2 0 1 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178"/>
      <c r="V1" s="179" t="str">
        <f ca="1" xml:space="preserve"> "AFTER" &amp;RIGHT(A3,1)</f>
        <v>AFTER1</v>
      </c>
    </row>
    <row r="2" spans="1:37" ht="12.75" customHeight="1" x14ac:dyDescent="0.3">
      <c r="A2" s="371" t="str">
        <f>CTRL!B8</f>
        <v>29. ročník mezinárodního cyklistického závodu juniorů / 29th edition of international cycling race of juniors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182"/>
    </row>
    <row r="3" spans="1:37" ht="18" x14ac:dyDescent="0.35">
      <c r="A3" s="30" t="str">
        <f ca="1">MID(CELL("filename",A1),FIND("]",CELL("filename",A1))+1,256)</f>
        <v>PR1</v>
      </c>
      <c r="D3" s="372" t="str">
        <f ca="1">INDIRECT("POET"&amp;(RIGHT(A3,1)))</f>
        <v>po 1. etapě / after 1st Stage</v>
      </c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T3" s="184" t="str">
        <f>"Com.no.: 8/" &amp; CTRL!B27</f>
        <v>Com.no.: 8/33</v>
      </c>
      <c r="U3" s="185"/>
      <c r="X3" s="179" t="str">
        <f ca="1" xml:space="preserve"> "AFTER" &amp;RIGHT(A3,1)</f>
        <v>AFTER1</v>
      </c>
    </row>
    <row r="4" spans="1:37" x14ac:dyDescent="0.3">
      <c r="A4" s="120" t="str">
        <f ca="1">"Datum / Date: "&amp;TEXT(INDIRECT("DATUM"&amp;(RIGHT(A3,1))),"dd.mm.rrrr")</f>
        <v>Datum / Date: 07.08.2015</v>
      </c>
      <c r="T4" s="186" t="str">
        <f>"Místo konání / Place: "&amp;CTRL!B16&amp;""</f>
        <v>Místo konání / Place: Lanškroun (CZE)</v>
      </c>
      <c r="U4" s="187"/>
    </row>
    <row r="5" spans="1:37" ht="18.75" customHeight="1" x14ac:dyDescent="0.3">
      <c r="A5" s="373" t="str">
        <f>VLIST</f>
        <v>Výsledková listina / Result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188"/>
      <c r="AB5" s="179" t="str">
        <f ca="1" xml:space="preserve"> "BODO" &amp;RIGHT(A3,1)</f>
        <v>BODO1</v>
      </c>
    </row>
    <row r="6" spans="1:37" ht="10.5" customHeight="1" x14ac:dyDescent="0.3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266"/>
      <c r="T6" s="189"/>
      <c r="U6" s="188"/>
    </row>
    <row r="7" spans="1:37" x14ac:dyDescent="0.3">
      <c r="A7" s="190" t="s">
        <v>0</v>
      </c>
      <c r="B7" s="190" t="s">
        <v>1</v>
      </c>
      <c r="C7" s="190" t="s">
        <v>2</v>
      </c>
      <c r="D7" s="190" t="s">
        <v>3</v>
      </c>
      <c r="E7" s="190" t="s">
        <v>4</v>
      </c>
      <c r="F7" s="374" t="s">
        <v>54</v>
      </c>
      <c r="G7" s="374"/>
      <c r="H7" s="374"/>
      <c r="I7" s="374" t="s">
        <v>18</v>
      </c>
      <c r="J7" s="374"/>
      <c r="K7" s="374"/>
      <c r="L7" s="374" t="s">
        <v>56</v>
      </c>
      <c r="M7" s="374"/>
      <c r="N7" s="374"/>
      <c r="O7" s="374" t="s">
        <v>57</v>
      </c>
      <c r="P7" s="374"/>
      <c r="Q7" s="374"/>
      <c r="R7" s="374"/>
      <c r="S7" s="267"/>
      <c r="T7" s="190" t="s">
        <v>20</v>
      </c>
      <c r="U7" s="191"/>
    </row>
    <row r="8" spans="1:37" x14ac:dyDescent="0.3">
      <c r="A8" s="192" t="s">
        <v>6</v>
      </c>
      <c r="B8" s="192" t="s">
        <v>7</v>
      </c>
      <c r="C8" s="192" t="s">
        <v>8</v>
      </c>
      <c r="D8" s="192" t="s">
        <v>9</v>
      </c>
      <c r="E8" s="192" t="s">
        <v>14</v>
      </c>
      <c r="F8" s="375" t="s">
        <v>55</v>
      </c>
      <c r="G8" s="375"/>
      <c r="H8" s="375"/>
      <c r="I8" s="375" t="s">
        <v>58</v>
      </c>
      <c r="J8" s="375"/>
      <c r="K8" s="375"/>
      <c r="L8" s="375" t="s">
        <v>59</v>
      </c>
      <c r="M8" s="375"/>
      <c r="N8" s="375"/>
      <c r="O8" s="375" t="s">
        <v>60</v>
      </c>
      <c r="P8" s="375"/>
      <c r="Q8" s="375"/>
      <c r="R8" s="375"/>
      <c r="S8" s="268"/>
      <c r="T8" s="192" t="s">
        <v>21</v>
      </c>
      <c r="U8" s="193"/>
      <c r="W8" s="194"/>
    </row>
    <row r="9" spans="1:37" ht="9.75" customHeight="1" thickBot="1" x14ac:dyDescent="0.35"/>
    <row r="10" spans="1:37" ht="44.1" customHeight="1" x14ac:dyDescent="0.3">
      <c r="A10" s="363" t="s">
        <v>53</v>
      </c>
      <c r="B10" s="363"/>
      <c r="C10" s="363"/>
      <c r="D10" s="363"/>
      <c r="E10" s="363"/>
      <c r="F10" s="366"/>
      <c r="G10" s="361"/>
      <c r="H10" s="359" t="s">
        <v>33</v>
      </c>
      <c r="I10" s="366"/>
      <c r="J10" s="361"/>
      <c r="K10" s="359" t="s">
        <v>79</v>
      </c>
      <c r="L10" s="366"/>
      <c r="M10" s="361"/>
      <c r="N10" s="361"/>
      <c r="O10" s="359" t="s">
        <v>80</v>
      </c>
      <c r="P10" s="351" t="s">
        <v>185</v>
      </c>
      <c r="Q10" s="353" t="s">
        <v>186</v>
      </c>
      <c r="R10" s="353" t="s">
        <v>187</v>
      </c>
      <c r="S10" s="359" t="s">
        <v>81</v>
      </c>
      <c r="T10" s="269"/>
      <c r="U10" s="196"/>
      <c r="V10" s="197" t="s">
        <v>95</v>
      </c>
      <c r="W10" s="197" t="s">
        <v>92</v>
      </c>
      <c r="X10" s="197" t="s">
        <v>91</v>
      </c>
      <c r="Z10" s="197" t="s">
        <v>93</v>
      </c>
      <c r="AA10" s="197" t="s">
        <v>92</v>
      </c>
      <c r="AB10" s="197" t="s">
        <v>94</v>
      </c>
    </row>
    <row r="11" spans="1:37" ht="18.899999999999999" customHeight="1" x14ac:dyDescent="0.3">
      <c r="A11" s="198"/>
      <c r="B11" s="368"/>
      <c r="C11" s="369"/>
      <c r="D11" s="369"/>
      <c r="E11" s="369"/>
      <c r="F11" s="367"/>
      <c r="G11" s="362"/>
      <c r="H11" s="360"/>
      <c r="I11" s="367"/>
      <c r="J11" s="362"/>
      <c r="K11" s="360"/>
      <c r="L11" s="367"/>
      <c r="M11" s="362"/>
      <c r="N11" s="362"/>
      <c r="O11" s="360"/>
      <c r="P11" s="352"/>
      <c r="Q11" s="354"/>
      <c r="R11" s="354"/>
      <c r="S11" s="360"/>
      <c r="T11" s="199"/>
      <c r="U11" s="200"/>
      <c r="V11" s="180"/>
      <c r="AB11" s="201"/>
    </row>
    <row r="12" spans="1:37" ht="14.1" customHeight="1" x14ac:dyDescent="0.3">
      <c r="A12" s="202">
        <v>1</v>
      </c>
      <c r="B12" s="47">
        <v>34</v>
      </c>
      <c r="C12" s="47" t="str">
        <f t="shared" ref="C12:C31" si="0">VLOOKUP($B12,STARTOVKA,2,0)</f>
        <v>GER19970125</v>
      </c>
      <c r="D12" s="53" t="str">
        <f t="shared" ref="D12:D31" si="1">VLOOKUP($B12,STARTOVKA,3,0)</f>
        <v>FRANZ Toni</v>
      </c>
      <c r="E12" s="67" t="str">
        <f t="shared" ref="E12:E31" si="2">VLOOKUP($B12,STARTOVKA,4,0)</f>
        <v>JUNIOREN SCHWALBE TEAM SACHSEN</v>
      </c>
      <c r="F12" s="272"/>
      <c r="G12" s="272"/>
      <c r="H12" s="271">
        <v>25</v>
      </c>
      <c r="I12" s="272"/>
      <c r="J12" s="272"/>
      <c r="K12" s="271"/>
      <c r="L12" s="272"/>
      <c r="M12" s="272"/>
      <c r="N12" s="272"/>
      <c r="O12" s="271"/>
      <c r="P12" s="271"/>
      <c r="Q12" s="271"/>
      <c r="R12" s="271"/>
      <c r="S12" s="271"/>
      <c r="T12" s="203">
        <f>SUM(F12:S12)</f>
        <v>25</v>
      </c>
      <c r="U12" s="204"/>
      <c r="V12" s="205">
        <f t="shared" ref="V12:V52" ca="1" si="3">VLOOKUP(B12,INDIRECT($V$1),12,0)</f>
        <v>1</v>
      </c>
      <c r="W12" s="206">
        <f t="shared" ref="W12:W52" si="4">VLOOKUP(B12,$Z$12:$AA$26,2,0)</f>
        <v>25</v>
      </c>
      <c r="X12" s="205">
        <f t="shared" ref="X12:X52" ca="1" si="5">IFERROR(VLOOKUP(B12,INDIRECT($X$3),1,0),0)</f>
        <v>34</v>
      </c>
      <c r="Z12" s="47">
        <v>34</v>
      </c>
      <c r="AA12" s="207">
        <v>25</v>
      </c>
      <c r="AB12" s="205">
        <f ca="1">IFERROR(VLOOKUP(Z12,INDIRECT($AB$5),1,0),0)</f>
        <v>34</v>
      </c>
      <c r="AF12" s="208" t="s">
        <v>68</v>
      </c>
      <c r="AG12" s="208"/>
    </row>
    <row r="13" spans="1:37" ht="14.1" customHeight="1" x14ac:dyDescent="0.3">
      <c r="A13" s="202">
        <v>2</v>
      </c>
      <c r="B13" s="47">
        <v>2</v>
      </c>
      <c r="C13" s="47" t="str">
        <f t="shared" si="0"/>
        <v>GER19970122</v>
      </c>
      <c r="D13" s="53" t="str">
        <f t="shared" si="1"/>
        <v>BERAN Andy</v>
      </c>
      <c r="E13" s="67" t="str">
        <f t="shared" si="2"/>
        <v>RSC COTTBUS</v>
      </c>
      <c r="F13" s="272"/>
      <c r="G13" s="272"/>
      <c r="H13" s="271">
        <v>20</v>
      </c>
      <c r="I13" s="272"/>
      <c r="J13" s="272"/>
      <c r="K13" s="271"/>
      <c r="L13" s="272"/>
      <c r="M13" s="272"/>
      <c r="N13" s="272"/>
      <c r="O13" s="271"/>
      <c r="P13" s="271"/>
      <c r="Q13" s="271"/>
      <c r="R13" s="271"/>
      <c r="S13" s="271"/>
      <c r="T13" s="203">
        <f t="shared" ref="T13:T52" si="6">SUM(F13:S13)</f>
        <v>20</v>
      </c>
      <c r="U13" s="204"/>
      <c r="V13" s="205">
        <f t="shared" ca="1" si="3"/>
        <v>2</v>
      </c>
      <c r="W13" s="206">
        <f t="shared" si="4"/>
        <v>20</v>
      </c>
      <c r="X13" s="205">
        <f t="shared" ca="1" si="5"/>
        <v>2</v>
      </c>
      <c r="Z13" s="47">
        <v>2</v>
      </c>
      <c r="AA13" s="207">
        <v>20</v>
      </c>
      <c r="AB13" s="205">
        <f t="shared" ref="AB13:AB26" ca="1" si="7">IFERROR(VLOOKUP(Z13,INDIRECT($AB$5),1,0),0)</f>
        <v>2</v>
      </c>
      <c r="AF13" s="80"/>
      <c r="AG13" s="80" t="s">
        <v>69</v>
      </c>
    </row>
    <row r="14" spans="1:37" s="3" customFormat="1" ht="14.1" customHeight="1" x14ac:dyDescent="0.3">
      <c r="A14" s="202">
        <v>3</v>
      </c>
      <c r="B14" s="47">
        <v>84</v>
      </c>
      <c r="C14" s="47" t="str">
        <f t="shared" si="0"/>
        <v>*GER19981211</v>
      </c>
      <c r="D14" s="53" t="str">
        <f t="shared" si="1"/>
        <v>RUDOLPH Poul</v>
      </c>
      <c r="E14" s="67" t="str">
        <f t="shared" si="2"/>
        <v>GERMAN NATIONAL TEAM</v>
      </c>
      <c r="F14" s="272"/>
      <c r="G14" s="272"/>
      <c r="H14" s="271">
        <v>16</v>
      </c>
      <c r="I14" s="272"/>
      <c r="J14" s="272"/>
      <c r="K14" s="271"/>
      <c r="L14" s="272"/>
      <c r="M14" s="272"/>
      <c r="N14" s="272"/>
      <c r="O14" s="271"/>
      <c r="P14" s="271"/>
      <c r="Q14" s="271"/>
      <c r="R14" s="271"/>
      <c r="S14" s="271"/>
      <c r="T14" s="203">
        <f t="shared" si="6"/>
        <v>16</v>
      </c>
      <c r="U14" s="204"/>
      <c r="V14" s="205">
        <f t="shared" ca="1" si="3"/>
        <v>3</v>
      </c>
      <c r="W14" s="206">
        <f t="shared" si="4"/>
        <v>16</v>
      </c>
      <c r="X14" s="205">
        <f t="shared" ca="1" si="5"/>
        <v>84</v>
      </c>
      <c r="Z14" s="47">
        <v>84</v>
      </c>
      <c r="AA14" s="207">
        <v>16</v>
      </c>
      <c r="AB14" s="205">
        <f t="shared" ca="1" si="7"/>
        <v>84</v>
      </c>
      <c r="AC14" s="180"/>
      <c r="AD14" s="180"/>
      <c r="AF14" s="80"/>
      <c r="AG14" s="80" t="s">
        <v>70</v>
      </c>
      <c r="AH14" s="80"/>
      <c r="AI14" s="181"/>
      <c r="AJ14" s="181"/>
      <c r="AK14" s="181"/>
    </row>
    <row r="15" spans="1:37" s="3" customFormat="1" ht="14.1" customHeight="1" x14ac:dyDescent="0.3">
      <c r="A15" s="202">
        <v>4</v>
      </c>
      <c r="B15" s="47">
        <v>158</v>
      </c>
      <c r="C15" s="47" t="str">
        <f t="shared" si="0"/>
        <v>POL19971016</v>
      </c>
      <c r="D15" s="53" t="str">
        <f t="shared" si="1"/>
        <v>KUKLEWICZ Karol</v>
      </c>
      <c r="E15" s="67" t="str">
        <f t="shared" si="2"/>
        <v>MIX7 - MLKS WIELUŃ</v>
      </c>
      <c r="F15" s="272"/>
      <c r="G15" s="272"/>
      <c r="H15" s="271">
        <v>14</v>
      </c>
      <c r="I15" s="272"/>
      <c r="J15" s="272"/>
      <c r="K15" s="271"/>
      <c r="L15" s="272"/>
      <c r="M15" s="272"/>
      <c r="N15" s="272"/>
      <c r="O15" s="271"/>
      <c r="P15" s="271"/>
      <c r="Q15" s="271"/>
      <c r="R15" s="271"/>
      <c r="S15" s="271"/>
      <c r="T15" s="203">
        <f t="shared" si="6"/>
        <v>14</v>
      </c>
      <c r="U15" s="204"/>
      <c r="V15" s="205">
        <f t="shared" ca="1" si="3"/>
        <v>4</v>
      </c>
      <c r="W15" s="206">
        <f t="shared" si="4"/>
        <v>14</v>
      </c>
      <c r="X15" s="205">
        <f t="shared" ca="1" si="5"/>
        <v>158</v>
      </c>
      <c r="Z15" s="47">
        <v>158</v>
      </c>
      <c r="AA15" s="207">
        <v>14</v>
      </c>
      <c r="AB15" s="205">
        <f t="shared" ca="1" si="7"/>
        <v>158</v>
      </c>
      <c r="AC15" s="180"/>
      <c r="AD15" s="180"/>
      <c r="AF15" s="80"/>
      <c r="AG15" s="80" t="s">
        <v>71</v>
      </c>
      <c r="AH15" s="80"/>
      <c r="AI15" s="181"/>
      <c r="AJ15" s="181"/>
      <c r="AK15" s="181"/>
    </row>
    <row r="16" spans="1:37" s="3" customFormat="1" ht="14.1" customHeight="1" x14ac:dyDescent="0.3">
      <c r="A16" s="202">
        <v>5</v>
      </c>
      <c r="B16" s="209">
        <v>73</v>
      </c>
      <c r="C16" s="47" t="str">
        <f t="shared" si="0"/>
        <v>CZE19991022*</v>
      </c>
      <c r="D16" s="53" t="str">
        <f t="shared" si="1"/>
        <v xml:space="preserve">BABOR Daniel </v>
      </c>
      <c r="E16" s="67" t="str">
        <f t="shared" si="2"/>
        <v xml:space="preserve">MIX2  - TJ KOVO PRAHA </v>
      </c>
      <c r="F16" s="272"/>
      <c r="G16" s="272"/>
      <c r="H16" s="271">
        <v>12</v>
      </c>
      <c r="I16" s="272"/>
      <c r="J16" s="272"/>
      <c r="K16" s="271"/>
      <c r="L16" s="272"/>
      <c r="M16" s="272"/>
      <c r="N16" s="272"/>
      <c r="O16" s="271"/>
      <c r="P16" s="271"/>
      <c r="Q16" s="271"/>
      <c r="R16" s="271"/>
      <c r="S16" s="271"/>
      <c r="T16" s="203">
        <f t="shared" si="6"/>
        <v>12</v>
      </c>
      <c r="U16" s="204"/>
      <c r="V16" s="205">
        <f t="shared" ca="1" si="3"/>
        <v>5</v>
      </c>
      <c r="W16" s="206">
        <f t="shared" si="4"/>
        <v>12</v>
      </c>
      <c r="X16" s="205">
        <f t="shared" ca="1" si="5"/>
        <v>73</v>
      </c>
      <c r="Z16" s="47">
        <v>73</v>
      </c>
      <c r="AA16" s="207">
        <v>12</v>
      </c>
      <c r="AB16" s="205">
        <f t="shared" ca="1" si="7"/>
        <v>73</v>
      </c>
      <c r="AC16" s="180"/>
      <c r="AD16" s="180"/>
      <c r="AF16" s="181"/>
      <c r="AG16" s="181"/>
      <c r="AH16" s="181"/>
      <c r="AI16" s="181"/>
      <c r="AJ16" s="181"/>
      <c r="AK16" s="181"/>
    </row>
    <row r="17" spans="1:37" s="3" customFormat="1" ht="14.1" customHeight="1" x14ac:dyDescent="0.3">
      <c r="A17" s="202">
        <v>6</v>
      </c>
      <c r="B17" s="47">
        <v>75</v>
      </c>
      <c r="C17" s="47" t="str">
        <f t="shared" si="0"/>
        <v>CZE19970804</v>
      </c>
      <c r="D17" s="53" t="str">
        <f t="shared" si="1"/>
        <v xml:space="preserve">SPUDIL Martin </v>
      </c>
      <c r="E17" s="67" t="str">
        <f t="shared" si="2"/>
        <v xml:space="preserve">MIX2  - SP KOLO LOAP SPECIALIZED </v>
      </c>
      <c r="F17" s="272"/>
      <c r="G17" s="272"/>
      <c r="H17" s="271">
        <v>10</v>
      </c>
      <c r="I17" s="272"/>
      <c r="J17" s="272"/>
      <c r="K17" s="271"/>
      <c r="L17" s="272"/>
      <c r="M17" s="272"/>
      <c r="N17" s="272"/>
      <c r="O17" s="271"/>
      <c r="P17" s="271"/>
      <c r="Q17" s="271"/>
      <c r="R17" s="271"/>
      <c r="S17" s="271"/>
      <c r="T17" s="203">
        <f t="shared" si="6"/>
        <v>10</v>
      </c>
      <c r="U17" s="204"/>
      <c r="V17" s="205">
        <f t="shared" ca="1" si="3"/>
        <v>6</v>
      </c>
      <c r="W17" s="206">
        <f t="shared" si="4"/>
        <v>10</v>
      </c>
      <c r="X17" s="205">
        <f t="shared" ca="1" si="5"/>
        <v>75</v>
      </c>
      <c r="Z17" s="47">
        <v>75</v>
      </c>
      <c r="AA17" s="207">
        <v>10</v>
      </c>
      <c r="AB17" s="205">
        <f t="shared" ca="1" si="7"/>
        <v>75</v>
      </c>
      <c r="AC17" s="180"/>
      <c r="AD17" s="180"/>
      <c r="AF17" s="208" t="s">
        <v>110</v>
      </c>
      <c r="AG17" s="208"/>
      <c r="AH17" s="181"/>
      <c r="AI17" s="181"/>
      <c r="AJ17" s="181"/>
      <c r="AK17" s="181"/>
    </row>
    <row r="18" spans="1:37" s="3" customFormat="1" ht="14.1" customHeight="1" x14ac:dyDescent="0.3">
      <c r="A18" s="202">
        <v>7</v>
      </c>
      <c r="B18" s="47">
        <v>156</v>
      </c>
      <c r="C18" s="47" t="str">
        <f t="shared" si="0"/>
        <v>AUT19971004</v>
      </c>
      <c r="D18" s="53" t="str">
        <f t="shared" si="1"/>
        <v>GRUBER Julian</v>
      </c>
      <c r="E18" s="67" t="str">
        <f t="shared" si="2"/>
        <v>MIX7 - RLM WIEN (RADLEISTUNGSMODELL WIEN)</v>
      </c>
      <c r="F18" s="272"/>
      <c r="G18" s="272"/>
      <c r="H18" s="271">
        <v>9</v>
      </c>
      <c r="I18" s="272"/>
      <c r="J18" s="272"/>
      <c r="K18" s="271"/>
      <c r="L18" s="272"/>
      <c r="M18" s="272"/>
      <c r="N18" s="272"/>
      <c r="O18" s="271"/>
      <c r="P18" s="271"/>
      <c r="Q18" s="271"/>
      <c r="R18" s="271"/>
      <c r="S18" s="271"/>
      <c r="T18" s="203">
        <f t="shared" si="6"/>
        <v>9</v>
      </c>
      <c r="U18" s="204"/>
      <c r="V18" s="205">
        <f t="shared" ca="1" si="3"/>
        <v>7</v>
      </c>
      <c r="W18" s="206">
        <f t="shared" si="4"/>
        <v>9</v>
      </c>
      <c r="X18" s="205">
        <f t="shared" ca="1" si="5"/>
        <v>156</v>
      </c>
      <c r="Z18" s="47">
        <v>156</v>
      </c>
      <c r="AA18" s="207">
        <v>9</v>
      </c>
      <c r="AB18" s="205">
        <f t="shared" ca="1" si="7"/>
        <v>156</v>
      </c>
      <c r="AC18" s="180"/>
      <c r="AD18" s="180"/>
      <c r="AF18" s="181"/>
      <c r="AG18" s="80" t="s">
        <v>111</v>
      </c>
      <c r="AH18" s="181"/>
      <c r="AI18" s="181"/>
      <c r="AJ18" s="181"/>
      <c r="AK18" s="181"/>
    </row>
    <row r="19" spans="1:37" s="3" customFormat="1" ht="14.1" customHeight="1" x14ac:dyDescent="0.3">
      <c r="A19" s="202">
        <v>8</v>
      </c>
      <c r="B19" s="47">
        <v>81</v>
      </c>
      <c r="C19" s="47" t="str">
        <f t="shared" si="0"/>
        <v>*GER19980505</v>
      </c>
      <c r="D19" s="53" t="str">
        <f t="shared" si="1"/>
        <v>HAUPT Tarik</v>
      </c>
      <c r="E19" s="67" t="str">
        <f t="shared" si="2"/>
        <v>GERMAN NATIONAL TEAM</v>
      </c>
      <c r="F19" s="272"/>
      <c r="G19" s="272"/>
      <c r="H19" s="271">
        <v>8</v>
      </c>
      <c r="I19" s="272"/>
      <c r="J19" s="272"/>
      <c r="K19" s="271"/>
      <c r="L19" s="272"/>
      <c r="M19" s="272"/>
      <c r="N19" s="272"/>
      <c r="O19" s="271"/>
      <c r="P19" s="271"/>
      <c r="Q19" s="271"/>
      <c r="R19" s="271"/>
      <c r="S19" s="271"/>
      <c r="T19" s="203">
        <f t="shared" si="6"/>
        <v>8</v>
      </c>
      <c r="U19" s="204"/>
      <c r="V19" s="205">
        <f t="shared" ca="1" si="3"/>
        <v>8</v>
      </c>
      <c r="W19" s="206">
        <f t="shared" si="4"/>
        <v>8</v>
      </c>
      <c r="X19" s="205">
        <f t="shared" ca="1" si="5"/>
        <v>81</v>
      </c>
      <c r="Z19" s="47">
        <v>81</v>
      </c>
      <c r="AA19" s="207">
        <v>8</v>
      </c>
      <c r="AB19" s="205">
        <f t="shared" ca="1" si="7"/>
        <v>81</v>
      </c>
      <c r="AC19" s="180"/>
      <c r="AD19" s="180"/>
      <c r="AF19" s="181"/>
      <c r="AG19" s="181"/>
      <c r="AH19" s="181"/>
      <c r="AI19" s="181"/>
      <c r="AJ19" s="181"/>
      <c r="AK19" s="181"/>
    </row>
    <row r="20" spans="1:37" s="3" customFormat="1" ht="14.1" customHeight="1" x14ac:dyDescent="0.3">
      <c r="A20" s="202">
        <v>9</v>
      </c>
      <c r="B20" s="209">
        <v>136</v>
      </c>
      <c r="C20" s="47" t="str">
        <f t="shared" si="0"/>
        <v>*SVK19980617</v>
      </c>
      <c r="D20" s="53" t="str">
        <f t="shared" si="1"/>
        <v>KLÁTIK David</v>
      </c>
      <c r="E20" s="67" t="str">
        <f t="shared" si="2"/>
        <v>MIX5 - TJ SLAVIA SG TRENČÍN</v>
      </c>
      <c r="F20" s="272"/>
      <c r="G20" s="272"/>
      <c r="H20" s="271">
        <v>7</v>
      </c>
      <c r="I20" s="272"/>
      <c r="J20" s="272"/>
      <c r="K20" s="271"/>
      <c r="L20" s="272"/>
      <c r="M20" s="272"/>
      <c r="N20" s="272"/>
      <c r="O20" s="271"/>
      <c r="P20" s="271"/>
      <c r="Q20" s="271"/>
      <c r="R20" s="271"/>
      <c r="S20" s="271"/>
      <c r="T20" s="203">
        <f t="shared" si="6"/>
        <v>7</v>
      </c>
      <c r="U20" s="204"/>
      <c r="V20" s="205">
        <f t="shared" ca="1" si="3"/>
        <v>9</v>
      </c>
      <c r="W20" s="206">
        <f t="shared" si="4"/>
        <v>7</v>
      </c>
      <c r="X20" s="205">
        <f t="shared" ca="1" si="5"/>
        <v>136</v>
      </c>
      <c r="Z20" s="47">
        <v>136</v>
      </c>
      <c r="AA20" s="207">
        <v>7</v>
      </c>
      <c r="AB20" s="205">
        <f t="shared" ca="1" si="7"/>
        <v>136</v>
      </c>
      <c r="AC20" s="180"/>
      <c r="AD20" s="180"/>
      <c r="AF20" s="181"/>
      <c r="AG20" s="181"/>
      <c r="AH20" s="181"/>
      <c r="AI20" s="181"/>
      <c r="AJ20" s="181"/>
      <c r="AK20" s="181"/>
    </row>
    <row r="21" spans="1:37" s="3" customFormat="1" ht="14.1" customHeight="1" x14ac:dyDescent="0.3">
      <c r="A21" s="202">
        <v>10</v>
      </c>
      <c r="B21" s="47">
        <v>43</v>
      </c>
      <c r="C21" s="47" t="str">
        <f t="shared" si="0"/>
        <v>*CZE19981115</v>
      </c>
      <c r="D21" s="53" t="str">
        <f t="shared" si="1"/>
        <v xml:space="preserve">KOČAŘÍK Václav </v>
      </c>
      <c r="E21" s="67" t="str">
        <f t="shared" si="2"/>
        <v xml:space="preserve">SKC TUFO PROSTĚJOV </v>
      </c>
      <c r="F21" s="272"/>
      <c r="G21" s="272"/>
      <c r="H21" s="271">
        <v>6</v>
      </c>
      <c r="I21" s="272"/>
      <c r="J21" s="272"/>
      <c r="K21" s="271"/>
      <c r="L21" s="272"/>
      <c r="M21" s="272"/>
      <c r="N21" s="272"/>
      <c r="O21" s="271"/>
      <c r="P21" s="271"/>
      <c r="Q21" s="271"/>
      <c r="R21" s="271"/>
      <c r="S21" s="271"/>
      <c r="T21" s="203">
        <f t="shared" si="6"/>
        <v>6</v>
      </c>
      <c r="U21" s="204"/>
      <c r="V21" s="205">
        <f t="shared" ca="1" si="3"/>
        <v>10</v>
      </c>
      <c r="W21" s="206">
        <f t="shared" si="4"/>
        <v>6</v>
      </c>
      <c r="X21" s="205">
        <f t="shared" ca="1" si="5"/>
        <v>43</v>
      </c>
      <c r="Z21" s="47">
        <v>43</v>
      </c>
      <c r="AA21" s="207">
        <v>6</v>
      </c>
      <c r="AB21" s="205">
        <f t="shared" ca="1" si="7"/>
        <v>43</v>
      </c>
      <c r="AC21" s="180"/>
      <c r="AD21" s="180"/>
      <c r="AF21" s="181"/>
      <c r="AG21" s="181"/>
      <c r="AH21" s="181"/>
      <c r="AI21" s="181"/>
      <c r="AJ21" s="181"/>
      <c r="AK21" s="181"/>
    </row>
    <row r="22" spans="1:37" s="3" customFormat="1" ht="14.1" customHeight="1" x14ac:dyDescent="0.3">
      <c r="A22" s="202">
        <v>11</v>
      </c>
      <c r="B22" s="47">
        <v>114</v>
      </c>
      <c r="C22" s="47" t="str">
        <f t="shared" si="0"/>
        <v>CZE19991205*</v>
      </c>
      <c r="D22" s="53" t="str">
        <f t="shared" si="1"/>
        <v xml:space="preserve">SYROVÁTKA Matěj </v>
      </c>
      <c r="E22" s="67" t="str">
        <f t="shared" si="2"/>
        <v xml:space="preserve">MIX3 - ČEZ CYKLO TEAM TÁBOR </v>
      </c>
      <c r="F22" s="272"/>
      <c r="G22" s="272"/>
      <c r="H22" s="271">
        <v>5</v>
      </c>
      <c r="I22" s="272"/>
      <c r="J22" s="272"/>
      <c r="K22" s="271"/>
      <c r="L22" s="272"/>
      <c r="M22" s="272"/>
      <c r="N22" s="272"/>
      <c r="O22" s="271"/>
      <c r="P22" s="271"/>
      <c r="Q22" s="271"/>
      <c r="R22" s="271"/>
      <c r="S22" s="271"/>
      <c r="T22" s="203">
        <f t="shared" si="6"/>
        <v>5</v>
      </c>
      <c r="U22" s="204"/>
      <c r="V22" s="205">
        <f t="shared" ca="1" si="3"/>
        <v>11</v>
      </c>
      <c r="W22" s="206">
        <f t="shared" si="4"/>
        <v>5</v>
      </c>
      <c r="X22" s="205">
        <f t="shared" ca="1" si="5"/>
        <v>114</v>
      </c>
      <c r="Z22" s="47">
        <v>114</v>
      </c>
      <c r="AA22" s="207">
        <v>5</v>
      </c>
      <c r="AB22" s="205">
        <f t="shared" ca="1" si="7"/>
        <v>114</v>
      </c>
      <c r="AC22" s="180"/>
      <c r="AD22" s="180"/>
      <c r="AF22" s="181"/>
      <c r="AG22" s="181"/>
      <c r="AH22" s="210"/>
      <c r="AI22" s="181"/>
      <c r="AJ22" s="181"/>
      <c r="AK22" s="181"/>
    </row>
    <row r="23" spans="1:37" s="3" customFormat="1" ht="14.1" customHeight="1" x14ac:dyDescent="0.3">
      <c r="A23" s="202">
        <v>12</v>
      </c>
      <c r="B23" s="47">
        <v>11</v>
      </c>
      <c r="C23" s="47" t="str">
        <f t="shared" si="0"/>
        <v>GER19970217</v>
      </c>
      <c r="D23" s="53" t="str">
        <f t="shared" si="1"/>
        <v>SCHMIEDEL Sebastian</v>
      </c>
      <c r="E23" s="67" t="str">
        <f t="shared" si="2"/>
        <v>THÜRINGER RADSPORT VERBAND</v>
      </c>
      <c r="F23" s="272"/>
      <c r="G23" s="272"/>
      <c r="H23" s="271">
        <v>4</v>
      </c>
      <c r="I23" s="272"/>
      <c r="J23" s="272"/>
      <c r="K23" s="271"/>
      <c r="L23" s="272"/>
      <c r="M23" s="272"/>
      <c r="N23" s="272"/>
      <c r="O23" s="271"/>
      <c r="P23" s="271"/>
      <c r="Q23" s="271"/>
      <c r="R23" s="271"/>
      <c r="S23" s="271"/>
      <c r="T23" s="203">
        <f t="shared" si="6"/>
        <v>4</v>
      </c>
      <c r="U23" s="204"/>
      <c r="V23" s="205">
        <f t="shared" ca="1" si="3"/>
        <v>12</v>
      </c>
      <c r="W23" s="206">
        <f t="shared" si="4"/>
        <v>4</v>
      </c>
      <c r="X23" s="205">
        <f t="shared" ca="1" si="5"/>
        <v>11</v>
      </c>
      <c r="Z23" s="47">
        <v>11</v>
      </c>
      <c r="AA23" s="207">
        <v>4</v>
      </c>
      <c r="AB23" s="205">
        <f t="shared" ca="1" si="7"/>
        <v>11</v>
      </c>
      <c r="AC23" s="180"/>
      <c r="AD23" s="180"/>
      <c r="AF23" s="181"/>
      <c r="AG23" s="181"/>
      <c r="AH23" s="210"/>
      <c r="AI23" s="181"/>
      <c r="AJ23" s="181"/>
      <c r="AK23" s="181"/>
    </row>
    <row r="24" spans="1:37" s="3" customFormat="1" ht="14.1" customHeight="1" x14ac:dyDescent="0.3">
      <c r="A24" s="202">
        <v>13</v>
      </c>
      <c r="B24" s="47">
        <v>95</v>
      </c>
      <c r="C24" s="47" t="str">
        <f t="shared" si="0"/>
        <v>*GER19981026</v>
      </c>
      <c r="D24" s="53" t="str">
        <f t="shared" si="1"/>
        <v>KUNERT Pepe</v>
      </c>
      <c r="E24" s="67" t="str">
        <f t="shared" si="2"/>
        <v>RG BERLIN</v>
      </c>
      <c r="F24" s="272"/>
      <c r="G24" s="272"/>
      <c r="H24" s="271">
        <v>3</v>
      </c>
      <c r="I24" s="272"/>
      <c r="J24" s="272"/>
      <c r="K24" s="271"/>
      <c r="L24" s="272"/>
      <c r="M24" s="272"/>
      <c r="N24" s="272"/>
      <c r="O24" s="271"/>
      <c r="P24" s="271"/>
      <c r="Q24" s="271"/>
      <c r="R24" s="271"/>
      <c r="S24" s="271"/>
      <c r="T24" s="203">
        <f t="shared" si="6"/>
        <v>3</v>
      </c>
      <c r="U24" s="204"/>
      <c r="V24" s="205">
        <f t="shared" ca="1" si="3"/>
        <v>13</v>
      </c>
      <c r="W24" s="206">
        <f t="shared" si="4"/>
        <v>3</v>
      </c>
      <c r="X24" s="205">
        <f t="shared" ca="1" si="5"/>
        <v>95</v>
      </c>
      <c r="Z24" s="47">
        <v>95</v>
      </c>
      <c r="AA24" s="207">
        <v>3</v>
      </c>
      <c r="AB24" s="205">
        <f t="shared" ca="1" si="7"/>
        <v>95</v>
      </c>
      <c r="AC24" s="180"/>
      <c r="AD24" s="180"/>
      <c r="AF24" s="181"/>
      <c r="AG24" s="181"/>
      <c r="AH24" s="210"/>
      <c r="AI24" s="181"/>
      <c r="AJ24" s="181"/>
      <c r="AK24" s="181"/>
    </row>
    <row r="25" spans="1:37" s="3" customFormat="1" ht="14.1" customHeight="1" x14ac:dyDescent="0.3">
      <c r="A25" s="202">
        <v>14</v>
      </c>
      <c r="B25" s="47">
        <v>112</v>
      </c>
      <c r="C25" s="47" t="str">
        <f t="shared" si="0"/>
        <v>*CZE19980616</v>
      </c>
      <c r="D25" s="53" t="str">
        <f t="shared" si="1"/>
        <v xml:space="preserve">DRDEK Dominik </v>
      </c>
      <c r="E25" s="67" t="str">
        <f t="shared" si="2"/>
        <v xml:space="preserve">MIX3 - ČEZ CYKLO TEAM TÁBOR </v>
      </c>
      <c r="F25" s="272"/>
      <c r="G25" s="272"/>
      <c r="H25" s="271">
        <v>2</v>
      </c>
      <c r="I25" s="272"/>
      <c r="J25" s="272"/>
      <c r="K25" s="271"/>
      <c r="L25" s="272"/>
      <c r="M25" s="272"/>
      <c r="N25" s="272"/>
      <c r="O25" s="271"/>
      <c r="P25" s="271"/>
      <c r="Q25" s="271"/>
      <c r="R25" s="271"/>
      <c r="S25" s="271"/>
      <c r="T25" s="203">
        <f t="shared" si="6"/>
        <v>2</v>
      </c>
      <c r="U25" s="204"/>
      <c r="V25" s="205">
        <f t="shared" ca="1" si="3"/>
        <v>14</v>
      </c>
      <c r="W25" s="206">
        <f t="shared" si="4"/>
        <v>2</v>
      </c>
      <c r="X25" s="205">
        <f t="shared" ca="1" si="5"/>
        <v>112</v>
      </c>
      <c r="Z25" s="47">
        <v>112</v>
      </c>
      <c r="AA25" s="207">
        <v>2</v>
      </c>
      <c r="AB25" s="205">
        <f t="shared" ca="1" si="7"/>
        <v>112</v>
      </c>
      <c r="AC25" s="180"/>
      <c r="AD25" s="180"/>
      <c r="AF25" s="181"/>
      <c r="AG25" s="181"/>
      <c r="AH25" s="210"/>
      <c r="AI25" s="181"/>
      <c r="AJ25" s="181"/>
      <c r="AK25" s="181"/>
    </row>
    <row r="26" spans="1:37" s="3" customFormat="1" ht="14.1" customHeight="1" x14ac:dyDescent="0.3">
      <c r="A26" s="202">
        <v>15</v>
      </c>
      <c r="B26" s="47">
        <v>101</v>
      </c>
      <c r="C26" s="47" t="str">
        <f t="shared" si="0"/>
        <v>SVK19971212</v>
      </c>
      <c r="D26" s="53" t="str">
        <f t="shared" si="1"/>
        <v>KOVÁČIK Vladimír</v>
      </c>
      <c r="E26" s="67" t="str">
        <f t="shared" si="2"/>
        <v>SLOVAK CYCLING FEDERATION</v>
      </c>
      <c r="F26" s="272"/>
      <c r="G26" s="272"/>
      <c r="H26" s="271">
        <v>1</v>
      </c>
      <c r="I26" s="272"/>
      <c r="J26" s="272"/>
      <c r="K26" s="271"/>
      <c r="L26" s="272"/>
      <c r="M26" s="272"/>
      <c r="N26" s="272"/>
      <c r="O26" s="271"/>
      <c r="P26" s="271"/>
      <c r="Q26" s="271"/>
      <c r="R26" s="271"/>
      <c r="S26" s="271"/>
      <c r="T26" s="203">
        <f t="shared" si="6"/>
        <v>1</v>
      </c>
      <c r="U26" s="204"/>
      <c r="V26" s="205">
        <f t="shared" ca="1" si="3"/>
        <v>15</v>
      </c>
      <c r="W26" s="206">
        <f t="shared" si="4"/>
        <v>1</v>
      </c>
      <c r="X26" s="205">
        <f t="shared" ca="1" si="5"/>
        <v>101</v>
      </c>
      <c r="Z26" s="47">
        <v>101</v>
      </c>
      <c r="AA26" s="207">
        <v>1</v>
      </c>
      <c r="AB26" s="205">
        <f t="shared" ca="1" si="7"/>
        <v>101</v>
      </c>
      <c r="AC26" s="180"/>
      <c r="AD26" s="180"/>
      <c r="AF26" s="181"/>
      <c r="AG26" s="181"/>
      <c r="AH26" s="210"/>
      <c r="AI26" s="181"/>
      <c r="AJ26" s="181"/>
      <c r="AK26" s="181"/>
    </row>
    <row r="27" spans="1:37" s="3" customFormat="1" ht="14.1" hidden="1" customHeight="1" outlineLevel="1" x14ac:dyDescent="0.3">
      <c r="A27" s="202">
        <v>16</v>
      </c>
      <c r="B27" s="47"/>
      <c r="C27" s="47" t="e">
        <f t="shared" si="0"/>
        <v>#N/A</v>
      </c>
      <c r="D27" s="53" t="e">
        <f t="shared" si="1"/>
        <v>#N/A</v>
      </c>
      <c r="E27" s="67" t="e">
        <f t="shared" si="2"/>
        <v>#N/A</v>
      </c>
      <c r="F27" s="272"/>
      <c r="G27" s="272"/>
      <c r="H27" s="271"/>
      <c r="I27" s="272"/>
      <c r="J27" s="272"/>
      <c r="K27" s="271"/>
      <c r="L27" s="272"/>
      <c r="M27" s="272"/>
      <c r="N27" s="272"/>
      <c r="O27" s="271"/>
      <c r="P27" s="271"/>
      <c r="Q27" s="271"/>
      <c r="R27" s="271"/>
      <c r="S27" s="271"/>
      <c r="T27" s="203">
        <f t="shared" si="6"/>
        <v>0</v>
      </c>
      <c r="U27" s="204"/>
      <c r="V27" s="205" t="e">
        <f t="shared" ca="1" si="3"/>
        <v>#N/A</v>
      </c>
      <c r="W27" s="206" t="e">
        <f t="shared" si="4"/>
        <v>#N/A</v>
      </c>
      <c r="X27" s="205">
        <f t="shared" ca="1" si="5"/>
        <v>0</v>
      </c>
      <c r="Z27" s="180"/>
      <c r="AA27" s="180"/>
      <c r="AB27" s="180"/>
      <c r="AC27" s="180"/>
      <c r="AD27" s="180"/>
      <c r="AF27" s="181"/>
      <c r="AG27" s="181"/>
      <c r="AH27" s="210"/>
      <c r="AI27" s="181"/>
      <c r="AJ27" s="181"/>
      <c r="AK27" s="181"/>
    </row>
    <row r="28" spans="1:37" s="3" customFormat="1" ht="13.5" hidden="1" customHeight="1" outlineLevel="1" x14ac:dyDescent="0.3">
      <c r="A28" s="202">
        <v>17</v>
      </c>
      <c r="B28" s="47"/>
      <c r="C28" s="47" t="e">
        <f t="shared" si="0"/>
        <v>#N/A</v>
      </c>
      <c r="D28" s="53" t="e">
        <f t="shared" si="1"/>
        <v>#N/A</v>
      </c>
      <c r="E28" s="67" t="e">
        <f t="shared" si="2"/>
        <v>#N/A</v>
      </c>
      <c r="F28" s="272"/>
      <c r="G28" s="272"/>
      <c r="H28" s="271"/>
      <c r="I28" s="272"/>
      <c r="J28" s="272"/>
      <c r="K28" s="271"/>
      <c r="L28" s="272"/>
      <c r="M28" s="272"/>
      <c r="N28" s="272"/>
      <c r="O28" s="271"/>
      <c r="P28" s="271"/>
      <c r="Q28" s="271"/>
      <c r="R28" s="271"/>
      <c r="S28" s="271"/>
      <c r="T28" s="203">
        <f t="shared" si="6"/>
        <v>0</v>
      </c>
      <c r="U28" s="204"/>
      <c r="V28" s="205" t="e">
        <f t="shared" ca="1" si="3"/>
        <v>#N/A</v>
      </c>
      <c r="W28" s="206" t="e">
        <f t="shared" si="4"/>
        <v>#N/A</v>
      </c>
      <c r="X28" s="205">
        <f t="shared" ca="1" si="5"/>
        <v>0</v>
      </c>
      <c r="Z28" s="180"/>
      <c r="AA28" s="180"/>
      <c r="AB28" s="181"/>
      <c r="AC28" s="180"/>
      <c r="AD28" s="180"/>
      <c r="AF28" s="181"/>
      <c r="AG28" s="181"/>
      <c r="AH28" s="210"/>
      <c r="AI28" s="181"/>
      <c r="AJ28" s="181"/>
      <c r="AK28" s="181"/>
    </row>
    <row r="29" spans="1:37" s="3" customFormat="1" ht="13.5" hidden="1" customHeight="1" outlineLevel="1" x14ac:dyDescent="0.3">
      <c r="A29" s="202">
        <v>18</v>
      </c>
      <c r="B29" s="209"/>
      <c r="C29" s="47" t="e">
        <f t="shared" si="0"/>
        <v>#N/A</v>
      </c>
      <c r="D29" s="53" t="e">
        <f t="shared" si="1"/>
        <v>#N/A</v>
      </c>
      <c r="E29" s="67" t="e">
        <f t="shared" si="2"/>
        <v>#N/A</v>
      </c>
      <c r="F29" s="272"/>
      <c r="G29" s="272"/>
      <c r="H29" s="271"/>
      <c r="I29" s="272"/>
      <c r="J29" s="272"/>
      <c r="K29" s="271"/>
      <c r="L29" s="272"/>
      <c r="M29" s="272"/>
      <c r="N29" s="272"/>
      <c r="O29" s="271"/>
      <c r="P29" s="271"/>
      <c r="Q29" s="271"/>
      <c r="R29" s="271"/>
      <c r="S29" s="271"/>
      <c r="T29" s="203">
        <f t="shared" si="6"/>
        <v>0</v>
      </c>
      <c r="U29" s="204"/>
      <c r="V29" s="205" t="e">
        <f t="shared" ca="1" si="3"/>
        <v>#N/A</v>
      </c>
      <c r="W29" s="206" t="e">
        <f t="shared" si="4"/>
        <v>#N/A</v>
      </c>
      <c r="X29" s="205">
        <f t="shared" ca="1" si="5"/>
        <v>0</v>
      </c>
      <c r="Z29" s="180"/>
      <c r="AA29" s="180"/>
      <c r="AB29" s="210"/>
      <c r="AC29" s="180"/>
      <c r="AD29" s="180"/>
      <c r="AF29" s="181"/>
      <c r="AG29" s="181"/>
      <c r="AH29" s="211"/>
      <c r="AI29" s="181"/>
      <c r="AJ29" s="181"/>
      <c r="AK29" s="181"/>
    </row>
    <row r="30" spans="1:37" s="3" customFormat="1" ht="13.5" hidden="1" customHeight="1" outlineLevel="1" x14ac:dyDescent="0.3">
      <c r="A30" s="202">
        <v>19</v>
      </c>
      <c r="B30" s="47"/>
      <c r="C30" s="47" t="e">
        <f t="shared" si="0"/>
        <v>#N/A</v>
      </c>
      <c r="D30" s="53" t="e">
        <f t="shared" si="1"/>
        <v>#N/A</v>
      </c>
      <c r="E30" s="67" t="e">
        <f t="shared" si="2"/>
        <v>#N/A</v>
      </c>
      <c r="F30" s="272"/>
      <c r="G30" s="272"/>
      <c r="H30" s="271"/>
      <c r="I30" s="272"/>
      <c r="J30" s="272"/>
      <c r="K30" s="271"/>
      <c r="L30" s="272"/>
      <c r="M30" s="272"/>
      <c r="N30" s="272"/>
      <c r="O30" s="271"/>
      <c r="P30" s="271"/>
      <c r="Q30" s="271"/>
      <c r="R30" s="271"/>
      <c r="S30" s="271"/>
      <c r="T30" s="203">
        <f t="shared" si="6"/>
        <v>0</v>
      </c>
      <c r="U30" s="204"/>
      <c r="V30" s="205" t="e">
        <f t="shared" ca="1" si="3"/>
        <v>#N/A</v>
      </c>
      <c r="W30" s="206" t="e">
        <f t="shared" si="4"/>
        <v>#N/A</v>
      </c>
      <c r="X30" s="205">
        <f t="shared" ca="1" si="5"/>
        <v>0</v>
      </c>
      <c r="Z30" s="212"/>
      <c r="AA30" s="212"/>
      <c r="AB30" s="210"/>
      <c r="AC30" s="212"/>
      <c r="AD30" s="212"/>
      <c r="AE30" s="213"/>
      <c r="AF30" s="181"/>
      <c r="AG30" s="181"/>
      <c r="AH30" s="114"/>
      <c r="AI30" s="181"/>
      <c r="AJ30" s="181"/>
      <c r="AK30" s="181"/>
    </row>
    <row r="31" spans="1:37" s="3" customFormat="1" ht="13.5" hidden="1" customHeight="1" outlineLevel="1" x14ac:dyDescent="0.3">
      <c r="A31" s="202">
        <v>20</v>
      </c>
      <c r="B31" s="47"/>
      <c r="C31" s="47" t="e">
        <f t="shared" si="0"/>
        <v>#N/A</v>
      </c>
      <c r="D31" s="53" t="e">
        <f t="shared" si="1"/>
        <v>#N/A</v>
      </c>
      <c r="E31" s="67" t="e">
        <f t="shared" si="2"/>
        <v>#N/A</v>
      </c>
      <c r="F31" s="272"/>
      <c r="G31" s="272"/>
      <c r="H31" s="271"/>
      <c r="I31" s="272"/>
      <c r="J31" s="272"/>
      <c r="K31" s="271"/>
      <c r="L31" s="272"/>
      <c r="M31" s="272"/>
      <c r="N31" s="272"/>
      <c r="O31" s="271"/>
      <c r="P31" s="271"/>
      <c r="Q31" s="271"/>
      <c r="R31" s="271"/>
      <c r="S31" s="271"/>
      <c r="T31" s="203">
        <f t="shared" si="6"/>
        <v>0</v>
      </c>
      <c r="U31" s="204"/>
      <c r="V31" s="205" t="e">
        <f t="shared" ca="1" si="3"/>
        <v>#N/A</v>
      </c>
      <c r="W31" s="206" t="e">
        <f t="shared" si="4"/>
        <v>#N/A</v>
      </c>
      <c r="X31" s="205">
        <f t="shared" ca="1" si="5"/>
        <v>0</v>
      </c>
      <c r="Z31" s="212"/>
      <c r="AA31" s="212"/>
      <c r="AB31" s="210"/>
      <c r="AC31" s="212"/>
      <c r="AD31" s="212"/>
      <c r="AE31" s="213"/>
      <c r="AF31" s="181"/>
      <c r="AG31" s="181"/>
      <c r="AH31" s="210"/>
      <c r="AI31" s="181"/>
      <c r="AJ31" s="181"/>
      <c r="AK31" s="181"/>
    </row>
    <row r="32" spans="1:37" s="3" customFormat="1" ht="13.5" hidden="1" customHeight="1" outlineLevel="1" x14ac:dyDescent="0.3">
      <c r="A32" s="202">
        <v>21</v>
      </c>
      <c r="B32" s="47"/>
      <c r="C32" s="47" t="e">
        <f t="shared" ref="C32:C52" si="8">VLOOKUP($B32,STARTOVKA,2,0)</f>
        <v>#N/A</v>
      </c>
      <c r="D32" s="53" t="e">
        <f t="shared" ref="D32:D52" si="9">VLOOKUP($B32,STARTOVKA,3,0)</f>
        <v>#N/A</v>
      </c>
      <c r="E32" s="67" t="e">
        <f t="shared" ref="E32:E52" si="10">VLOOKUP($B32,STARTOVKA,4,0)</f>
        <v>#N/A</v>
      </c>
      <c r="F32" s="272"/>
      <c r="G32" s="272"/>
      <c r="H32" s="271"/>
      <c r="I32" s="272"/>
      <c r="J32" s="272"/>
      <c r="K32" s="271"/>
      <c r="L32" s="272"/>
      <c r="M32" s="272"/>
      <c r="N32" s="272"/>
      <c r="O32" s="271"/>
      <c r="P32" s="271"/>
      <c r="Q32" s="271"/>
      <c r="R32" s="271"/>
      <c r="S32" s="271"/>
      <c r="T32" s="203">
        <f t="shared" si="6"/>
        <v>0</v>
      </c>
      <c r="U32" s="204"/>
      <c r="V32" s="205" t="e">
        <f t="shared" ca="1" si="3"/>
        <v>#N/A</v>
      </c>
      <c r="W32" s="206" t="e">
        <f t="shared" si="4"/>
        <v>#N/A</v>
      </c>
      <c r="X32" s="205">
        <f t="shared" ca="1" si="5"/>
        <v>0</v>
      </c>
      <c r="Z32" s="212"/>
      <c r="AA32" s="212"/>
      <c r="AB32" s="181"/>
      <c r="AC32" s="212"/>
      <c r="AD32" s="212"/>
      <c r="AE32" s="213"/>
      <c r="AF32" s="181"/>
      <c r="AG32" s="181"/>
      <c r="AH32" s="210"/>
      <c r="AI32" s="181"/>
      <c r="AJ32" s="181"/>
      <c r="AK32" s="181"/>
    </row>
    <row r="33" spans="1:37" s="3" customFormat="1" ht="13.5" hidden="1" customHeight="1" outlineLevel="1" x14ac:dyDescent="0.3">
      <c r="A33" s="202">
        <v>22</v>
      </c>
      <c r="B33" s="47"/>
      <c r="C33" s="47" t="e">
        <f t="shared" si="8"/>
        <v>#N/A</v>
      </c>
      <c r="D33" s="53" t="e">
        <f t="shared" si="9"/>
        <v>#N/A</v>
      </c>
      <c r="E33" s="67" t="e">
        <f t="shared" si="10"/>
        <v>#N/A</v>
      </c>
      <c r="F33" s="272"/>
      <c r="G33" s="272"/>
      <c r="H33" s="271"/>
      <c r="I33" s="272"/>
      <c r="J33" s="272"/>
      <c r="K33" s="271"/>
      <c r="L33" s="272"/>
      <c r="M33" s="272"/>
      <c r="N33" s="272"/>
      <c r="O33" s="271"/>
      <c r="P33" s="271"/>
      <c r="Q33" s="271"/>
      <c r="R33" s="271"/>
      <c r="S33" s="271"/>
      <c r="T33" s="203">
        <f t="shared" si="6"/>
        <v>0</v>
      </c>
      <c r="U33" s="204"/>
      <c r="V33" s="205" t="e">
        <f t="shared" ca="1" si="3"/>
        <v>#N/A</v>
      </c>
      <c r="W33" s="206" t="e">
        <f t="shared" si="4"/>
        <v>#N/A</v>
      </c>
      <c r="X33" s="205"/>
      <c r="Z33" s="212"/>
      <c r="AA33" s="212"/>
      <c r="AB33" s="181"/>
      <c r="AC33" s="212"/>
      <c r="AD33" s="212"/>
      <c r="AE33" s="213"/>
      <c r="AF33" s="181"/>
      <c r="AG33" s="181"/>
      <c r="AH33" s="210"/>
      <c r="AI33" s="181"/>
      <c r="AJ33" s="181"/>
      <c r="AK33" s="181"/>
    </row>
    <row r="34" spans="1:37" s="3" customFormat="1" ht="13.5" hidden="1" customHeight="1" outlineLevel="1" x14ac:dyDescent="0.3">
      <c r="A34" s="202">
        <v>23</v>
      </c>
      <c r="B34" s="47"/>
      <c r="C34" s="47" t="e">
        <f t="shared" si="8"/>
        <v>#N/A</v>
      </c>
      <c r="D34" s="53" t="e">
        <f t="shared" si="9"/>
        <v>#N/A</v>
      </c>
      <c r="E34" s="67" t="e">
        <f t="shared" si="10"/>
        <v>#N/A</v>
      </c>
      <c r="F34" s="272"/>
      <c r="G34" s="272"/>
      <c r="H34" s="271"/>
      <c r="I34" s="272"/>
      <c r="J34" s="272"/>
      <c r="K34" s="271"/>
      <c r="L34" s="272"/>
      <c r="M34" s="272"/>
      <c r="N34" s="272"/>
      <c r="O34" s="271"/>
      <c r="P34" s="271"/>
      <c r="Q34" s="271"/>
      <c r="R34" s="271"/>
      <c r="S34" s="271"/>
      <c r="T34" s="203">
        <f t="shared" si="6"/>
        <v>0</v>
      </c>
      <c r="U34" s="204"/>
      <c r="V34" s="205" t="e">
        <f t="shared" ca="1" si="3"/>
        <v>#N/A</v>
      </c>
      <c r="W34" s="206" t="e">
        <f t="shared" si="4"/>
        <v>#N/A</v>
      </c>
      <c r="X34" s="205"/>
      <c r="Z34" s="212"/>
      <c r="AA34" s="212"/>
      <c r="AB34" s="181"/>
      <c r="AC34" s="212"/>
      <c r="AD34" s="212"/>
      <c r="AE34" s="213"/>
      <c r="AF34" s="181"/>
      <c r="AG34" s="181"/>
      <c r="AH34" s="210"/>
      <c r="AI34" s="181"/>
      <c r="AJ34" s="181"/>
      <c r="AK34" s="181"/>
    </row>
    <row r="35" spans="1:37" s="3" customFormat="1" ht="13.5" hidden="1" customHeight="1" outlineLevel="1" x14ac:dyDescent="0.3">
      <c r="A35" s="202">
        <v>24</v>
      </c>
      <c r="B35" s="47"/>
      <c r="C35" s="47" t="e">
        <f t="shared" si="8"/>
        <v>#N/A</v>
      </c>
      <c r="D35" s="53" t="e">
        <f t="shared" si="9"/>
        <v>#N/A</v>
      </c>
      <c r="E35" s="67" t="e">
        <f t="shared" si="10"/>
        <v>#N/A</v>
      </c>
      <c r="F35" s="272"/>
      <c r="G35" s="272"/>
      <c r="H35" s="271"/>
      <c r="I35" s="272"/>
      <c r="J35" s="272"/>
      <c r="K35" s="271"/>
      <c r="L35" s="272"/>
      <c r="M35" s="272"/>
      <c r="N35" s="272"/>
      <c r="O35" s="271"/>
      <c r="P35" s="271"/>
      <c r="Q35" s="271"/>
      <c r="R35" s="271"/>
      <c r="S35" s="271"/>
      <c r="T35" s="203">
        <f t="shared" si="6"/>
        <v>0</v>
      </c>
      <c r="U35" s="204"/>
      <c r="V35" s="205" t="e">
        <f t="shared" ca="1" si="3"/>
        <v>#N/A</v>
      </c>
      <c r="W35" s="206" t="e">
        <f t="shared" si="4"/>
        <v>#N/A</v>
      </c>
      <c r="X35" s="205"/>
      <c r="Z35" s="212"/>
      <c r="AA35" s="212"/>
      <c r="AB35" s="181"/>
      <c r="AC35" s="212"/>
      <c r="AD35" s="212"/>
      <c r="AE35" s="213"/>
      <c r="AF35" s="181"/>
      <c r="AG35" s="181"/>
      <c r="AH35" s="210"/>
      <c r="AI35" s="181"/>
      <c r="AJ35" s="181"/>
      <c r="AK35" s="181"/>
    </row>
    <row r="36" spans="1:37" s="3" customFormat="1" ht="13.5" hidden="1" customHeight="1" outlineLevel="1" x14ac:dyDescent="0.3">
      <c r="A36" s="202">
        <v>25</v>
      </c>
      <c r="B36" s="47"/>
      <c r="C36" s="47" t="e">
        <f t="shared" si="8"/>
        <v>#N/A</v>
      </c>
      <c r="D36" s="53" t="e">
        <f t="shared" si="9"/>
        <v>#N/A</v>
      </c>
      <c r="E36" s="67" t="e">
        <f t="shared" si="10"/>
        <v>#N/A</v>
      </c>
      <c r="F36" s="272"/>
      <c r="G36" s="272"/>
      <c r="H36" s="271"/>
      <c r="I36" s="272"/>
      <c r="J36" s="272"/>
      <c r="K36" s="271"/>
      <c r="L36" s="272"/>
      <c r="M36" s="272"/>
      <c r="N36" s="272"/>
      <c r="O36" s="271"/>
      <c r="P36" s="271"/>
      <c r="Q36" s="271"/>
      <c r="R36" s="271"/>
      <c r="S36" s="271"/>
      <c r="T36" s="203">
        <f t="shared" si="6"/>
        <v>0</v>
      </c>
      <c r="U36" s="204"/>
      <c r="V36" s="205" t="e">
        <f t="shared" ca="1" si="3"/>
        <v>#N/A</v>
      </c>
      <c r="W36" s="206" t="e">
        <f t="shared" si="4"/>
        <v>#N/A</v>
      </c>
      <c r="X36" s="205"/>
      <c r="Z36" s="212"/>
      <c r="AA36" s="212"/>
      <c r="AB36" s="181"/>
      <c r="AC36" s="212"/>
      <c r="AD36" s="212"/>
      <c r="AE36" s="213"/>
      <c r="AF36" s="181"/>
      <c r="AG36" s="181"/>
      <c r="AH36" s="210"/>
      <c r="AI36" s="181"/>
      <c r="AJ36" s="181"/>
      <c r="AK36" s="181"/>
    </row>
    <row r="37" spans="1:37" s="3" customFormat="1" ht="13.5" hidden="1" customHeight="1" outlineLevel="1" x14ac:dyDescent="0.3">
      <c r="A37" s="202">
        <v>26</v>
      </c>
      <c r="B37" s="47"/>
      <c r="C37" s="47" t="e">
        <f t="shared" si="8"/>
        <v>#N/A</v>
      </c>
      <c r="D37" s="53" t="e">
        <f t="shared" si="9"/>
        <v>#N/A</v>
      </c>
      <c r="E37" s="67" t="e">
        <f t="shared" si="10"/>
        <v>#N/A</v>
      </c>
      <c r="F37" s="272"/>
      <c r="G37" s="272"/>
      <c r="H37" s="271"/>
      <c r="I37" s="272"/>
      <c r="J37" s="272"/>
      <c r="K37" s="271"/>
      <c r="L37" s="272"/>
      <c r="M37" s="272"/>
      <c r="N37" s="272"/>
      <c r="O37" s="271"/>
      <c r="P37" s="271"/>
      <c r="Q37" s="271"/>
      <c r="R37" s="271"/>
      <c r="S37" s="271"/>
      <c r="T37" s="203">
        <f t="shared" si="6"/>
        <v>0</v>
      </c>
      <c r="U37" s="204"/>
      <c r="V37" s="205" t="e">
        <f t="shared" ca="1" si="3"/>
        <v>#N/A</v>
      </c>
      <c r="W37" s="206" t="e">
        <f t="shared" si="4"/>
        <v>#N/A</v>
      </c>
      <c r="X37" s="205"/>
      <c r="Z37" s="212"/>
      <c r="AA37" s="212"/>
      <c r="AB37" s="181"/>
      <c r="AC37" s="212"/>
      <c r="AD37" s="212"/>
      <c r="AE37" s="213"/>
      <c r="AF37" s="181"/>
      <c r="AG37" s="181"/>
      <c r="AH37" s="210"/>
      <c r="AI37" s="181"/>
      <c r="AJ37" s="181"/>
      <c r="AK37" s="181"/>
    </row>
    <row r="38" spans="1:37" s="3" customFormat="1" ht="13.5" hidden="1" customHeight="1" outlineLevel="1" x14ac:dyDescent="0.3">
      <c r="A38" s="202">
        <v>27</v>
      </c>
      <c r="B38" s="47"/>
      <c r="C38" s="47" t="e">
        <f t="shared" si="8"/>
        <v>#N/A</v>
      </c>
      <c r="D38" s="53" t="e">
        <f t="shared" si="9"/>
        <v>#N/A</v>
      </c>
      <c r="E38" s="67" t="e">
        <f t="shared" si="10"/>
        <v>#N/A</v>
      </c>
      <c r="F38" s="272"/>
      <c r="G38" s="272"/>
      <c r="H38" s="271"/>
      <c r="I38" s="272"/>
      <c r="J38" s="272"/>
      <c r="K38" s="271"/>
      <c r="L38" s="272"/>
      <c r="M38" s="272"/>
      <c r="N38" s="272"/>
      <c r="O38" s="271"/>
      <c r="P38" s="271"/>
      <c r="Q38" s="271"/>
      <c r="R38" s="271"/>
      <c r="S38" s="271"/>
      <c r="T38" s="203">
        <f t="shared" si="6"/>
        <v>0</v>
      </c>
      <c r="U38" s="204"/>
      <c r="V38" s="205" t="e">
        <f t="shared" ca="1" si="3"/>
        <v>#N/A</v>
      </c>
      <c r="W38" s="206" t="e">
        <f t="shared" si="4"/>
        <v>#N/A</v>
      </c>
      <c r="X38" s="205"/>
      <c r="Z38" s="212"/>
      <c r="AA38" s="212"/>
      <c r="AB38" s="181"/>
      <c r="AC38" s="212"/>
      <c r="AD38" s="212"/>
      <c r="AE38" s="213"/>
      <c r="AF38" s="181"/>
      <c r="AG38" s="181"/>
      <c r="AH38" s="210"/>
      <c r="AI38" s="181"/>
      <c r="AJ38" s="181"/>
      <c r="AK38" s="181"/>
    </row>
    <row r="39" spans="1:37" s="3" customFormat="1" ht="13.5" hidden="1" customHeight="1" outlineLevel="1" x14ac:dyDescent="0.3">
      <c r="A39" s="202">
        <v>28</v>
      </c>
      <c r="B39" s="47"/>
      <c r="C39" s="47" t="e">
        <f t="shared" si="8"/>
        <v>#N/A</v>
      </c>
      <c r="D39" s="53" t="e">
        <f t="shared" si="9"/>
        <v>#N/A</v>
      </c>
      <c r="E39" s="67" t="e">
        <f t="shared" si="10"/>
        <v>#N/A</v>
      </c>
      <c r="F39" s="272"/>
      <c r="G39" s="272"/>
      <c r="H39" s="271"/>
      <c r="I39" s="272"/>
      <c r="J39" s="272"/>
      <c r="K39" s="271"/>
      <c r="L39" s="272"/>
      <c r="M39" s="272"/>
      <c r="N39" s="272"/>
      <c r="O39" s="271"/>
      <c r="P39" s="271"/>
      <c r="Q39" s="271"/>
      <c r="R39" s="271"/>
      <c r="S39" s="271"/>
      <c r="T39" s="203">
        <f t="shared" si="6"/>
        <v>0</v>
      </c>
      <c r="U39" s="204"/>
      <c r="V39" s="205" t="e">
        <f t="shared" ca="1" si="3"/>
        <v>#N/A</v>
      </c>
      <c r="W39" s="206" t="e">
        <f t="shared" si="4"/>
        <v>#N/A</v>
      </c>
      <c r="X39" s="205"/>
      <c r="Z39" s="212"/>
      <c r="AA39" s="212"/>
      <c r="AB39" s="181"/>
      <c r="AC39" s="212"/>
      <c r="AD39" s="212"/>
      <c r="AE39" s="213"/>
      <c r="AF39" s="181"/>
      <c r="AG39" s="181"/>
      <c r="AH39" s="210"/>
      <c r="AI39" s="181"/>
      <c r="AJ39" s="181"/>
      <c r="AK39" s="181"/>
    </row>
    <row r="40" spans="1:37" s="3" customFormat="1" ht="13.5" hidden="1" customHeight="1" outlineLevel="1" x14ac:dyDescent="0.3">
      <c r="A40" s="202">
        <v>29</v>
      </c>
      <c r="B40" s="47"/>
      <c r="C40" s="47" t="e">
        <f t="shared" si="8"/>
        <v>#N/A</v>
      </c>
      <c r="D40" s="53" t="e">
        <f t="shared" si="9"/>
        <v>#N/A</v>
      </c>
      <c r="E40" s="67" t="e">
        <f t="shared" si="10"/>
        <v>#N/A</v>
      </c>
      <c r="F40" s="272"/>
      <c r="G40" s="272"/>
      <c r="H40" s="271"/>
      <c r="I40" s="272"/>
      <c r="J40" s="272"/>
      <c r="K40" s="271"/>
      <c r="L40" s="272"/>
      <c r="M40" s="272"/>
      <c r="N40" s="272"/>
      <c r="O40" s="271"/>
      <c r="P40" s="271"/>
      <c r="Q40" s="271"/>
      <c r="R40" s="271"/>
      <c r="S40" s="271"/>
      <c r="T40" s="203">
        <f t="shared" si="6"/>
        <v>0</v>
      </c>
      <c r="U40" s="204"/>
      <c r="V40" s="205" t="e">
        <f t="shared" ca="1" si="3"/>
        <v>#N/A</v>
      </c>
      <c r="W40" s="206" t="e">
        <f t="shared" si="4"/>
        <v>#N/A</v>
      </c>
      <c r="X40" s="205"/>
      <c r="Z40" s="212"/>
      <c r="AA40" s="212"/>
      <c r="AB40" s="181"/>
      <c r="AC40" s="212"/>
      <c r="AD40" s="212"/>
      <c r="AE40" s="213"/>
      <c r="AF40" s="181"/>
      <c r="AG40" s="181"/>
      <c r="AH40" s="210"/>
      <c r="AI40" s="181"/>
      <c r="AJ40" s="181"/>
      <c r="AK40" s="181"/>
    </row>
    <row r="41" spans="1:37" s="3" customFormat="1" ht="13.5" hidden="1" customHeight="1" outlineLevel="1" x14ac:dyDescent="0.3">
      <c r="A41" s="202">
        <v>30</v>
      </c>
      <c r="B41" s="47"/>
      <c r="C41" s="47" t="e">
        <f t="shared" si="8"/>
        <v>#N/A</v>
      </c>
      <c r="D41" s="53" t="e">
        <f t="shared" si="9"/>
        <v>#N/A</v>
      </c>
      <c r="E41" s="67" t="e">
        <f t="shared" si="10"/>
        <v>#N/A</v>
      </c>
      <c r="F41" s="272"/>
      <c r="G41" s="272"/>
      <c r="H41" s="271"/>
      <c r="I41" s="272"/>
      <c r="J41" s="272"/>
      <c r="K41" s="271"/>
      <c r="L41" s="272"/>
      <c r="M41" s="272"/>
      <c r="N41" s="272"/>
      <c r="O41" s="271"/>
      <c r="P41" s="271"/>
      <c r="Q41" s="271"/>
      <c r="R41" s="271"/>
      <c r="S41" s="271"/>
      <c r="T41" s="203">
        <f t="shared" si="6"/>
        <v>0</v>
      </c>
      <c r="U41" s="204"/>
      <c r="V41" s="205" t="e">
        <f t="shared" ca="1" si="3"/>
        <v>#N/A</v>
      </c>
      <c r="W41" s="206" t="e">
        <f t="shared" si="4"/>
        <v>#N/A</v>
      </c>
      <c r="X41" s="205"/>
      <c r="Z41" s="212"/>
      <c r="AA41" s="212"/>
      <c r="AB41" s="181"/>
      <c r="AC41" s="212"/>
      <c r="AD41" s="212"/>
      <c r="AE41" s="213"/>
      <c r="AF41" s="181"/>
      <c r="AG41" s="181"/>
      <c r="AH41" s="210"/>
      <c r="AI41" s="181"/>
      <c r="AJ41" s="181"/>
      <c r="AK41" s="181"/>
    </row>
    <row r="42" spans="1:37" s="3" customFormat="1" ht="13.5" hidden="1" customHeight="1" outlineLevel="1" x14ac:dyDescent="0.3">
      <c r="A42" s="202">
        <v>31</v>
      </c>
      <c r="B42" s="47"/>
      <c r="C42" s="47" t="e">
        <f t="shared" si="8"/>
        <v>#N/A</v>
      </c>
      <c r="D42" s="53" t="e">
        <f t="shared" si="9"/>
        <v>#N/A</v>
      </c>
      <c r="E42" s="67" t="e">
        <f t="shared" si="10"/>
        <v>#N/A</v>
      </c>
      <c r="F42" s="272"/>
      <c r="G42" s="272"/>
      <c r="H42" s="271"/>
      <c r="I42" s="272"/>
      <c r="J42" s="272"/>
      <c r="K42" s="271"/>
      <c r="L42" s="272"/>
      <c r="M42" s="272"/>
      <c r="N42" s="272"/>
      <c r="O42" s="271"/>
      <c r="P42" s="271"/>
      <c r="Q42" s="271"/>
      <c r="R42" s="271"/>
      <c r="S42" s="271"/>
      <c r="T42" s="203">
        <f t="shared" si="6"/>
        <v>0</v>
      </c>
      <c r="U42" s="204"/>
      <c r="V42" s="205" t="e">
        <f t="shared" ca="1" si="3"/>
        <v>#N/A</v>
      </c>
      <c r="W42" s="206" t="e">
        <f t="shared" si="4"/>
        <v>#N/A</v>
      </c>
      <c r="X42" s="205"/>
      <c r="Z42" s="212"/>
      <c r="AA42" s="212"/>
      <c r="AB42" s="181"/>
      <c r="AC42" s="212"/>
      <c r="AD42" s="212"/>
      <c r="AE42" s="213"/>
      <c r="AF42" s="181"/>
      <c r="AG42" s="181"/>
      <c r="AH42" s="210"/>
      <c r="AI42" s="181"/>
      <c r="AJ42" s="181"/>
      <c r="AK42" s="181"/>
    </row>
    <row r="43" spans="1:37" s="3" customFormat="1" ht="13.5" hidden="1" customHeight="1" outlineLevel="1" x14ac:dyDescent="0.3">
      <c r="A43" s="202">
        <v>32</v>
      </c>
      <c r="B43" s="47"/>
      <c r="C43" s="47" t="e">
        <f t="shared" si="8"/>
        <v>#N/A</v>
      </c>
      <c r="D43" s="53" t="e">
        <f t="shared" si="9"/>
        <v>#N/A</v>
      </c>
      <c r="E43" s="67" t="e">
        <f t="shared" si="10"/>
        <v>#N/A</v>
      </c>
      <c r="F43" s="272"/>
      <c r="G43" s="272"/>
      <c r="H43" s="271"/>
      <c r="I43" s="272"/>
      <c r="J43" s="272"/>
      <c r="K43" s="271"/>
      <c r="L43" s="272"/>
      <c r="M43" s="272"/>
      <c r="N43" s="272"/>
      <c r="O43" s="271"/>
      <c r="P43" s="271"/>
      <c r="Q43" s="271"/>
      <c r="R43" s="271"/>
      <c r="S43" s="271"/>
      <c r="T43" s="203">
        <f t="shared" si="6"/>
        <v>0</v>
      </c>
      <c r="U43" s="204"/>
      <c r="V43" s="205" t="e">
        <f t="shared" ca="1" si="3"/>
        <v>#N/A</v>
      </c>
      <c r="W43" s="206" t="e">
        <f t="shared" si="4"/>
        <v>#N/A</v>
      </c>
      <c r="X43" s="205"/>
      <c r="Z43" s="212"/>
      <c r="AA43" s="212"/>
      <c r="AB43" s="181"/>
      <c r="AC43" s="212"/>
      <c r="AD43" s="212"/>
      <c r="AE43" s="213"/>
      <c r="AF43" s="181"/>
      <c r="AG43" s="181"/>
      <c r="AH43" s="210"/>
      <c r="AI43" s="181"/>
      <c r="AJ43" s="181"/>
      <c r="AK43" s="181"/>
    </row>
    <row r="44" spans="1:37" s="3" customFormat="1" ht="13.5" hidden="1" customHeight="1" outlineLevel="1" x14ac:dyDescent="0.3">
      <c r="A44" s="202">
        <v>33</v>
      </c>
      <c r="B44" s="47"/>
      <c r="C44" s="47" t="e">
        <f t="shared" si="8"/>
        <v>#N/A</v>
      </c>
      <c r="D44" s="53" t="e">
        <f t="shared" si="9"/>
        <v>#N/A</v>
      </c>
      <c r="E44" s="67" t="e">
        <f t="shared" si="10"/>
        <v>#N/A</v>
      </c>
      <c r="F44" s="272"/>
      <c r="G44" s="272"/>
      <c r="H44" s="271"/>
      <c r="I44" s="272"/>
      <c r="J44" s="272"/>
      <c r="K44" s="271"/>
      <c r="L44" s="272"/>
      <c r="M44" s="272"/>
      <c r="N44" s="272"/>
      <c r="O44" s="271"/>
      <c r="P44" s="271"/>
      <c r="Q44" s="271"/>
      <c r="R44" s="271"/>
      <c r="S44" s="271"/>
      <c r="T44" s="203">
        <f t="shared" si="6"/>
        <v>0</v>
      </c>
      <c r="U44" s="204"/>
      <c r="V44" s="205" t="e">
        <f t="shared" ca="1" si="3"/>
        <v>#N/A</v>
      </c>
      <c r="W44" s="206" t="e">
        <f t="shared" si="4"/>
        <v>#N/A</v>
      </c>
      <c r="X44" s="205"/>
      <c r="Z44" s="212"/>
      <c r="AA44" s="212"/>
      <c r="AB44" s="181"/>
      <c r="AC44" s="212"/>
      <c r="AD44" s="212"/>
      <c r="AE44" s="213"/>
      <c r="AF44" s="181"/>
      <c r="AG44" s="181"/>
      <c r="AH44" s="210"/>
      <c r="AI44" s="181"/>
      <c r="AJ44" s="181"/>
      <c r="AK44" s="181"/>
    </row>
    <row r="45" spans="1:37" s="3" customFormat="1" ht="13.5" hidden="1" customHeight="1" outlineLevel="1" x14ac:dyDescent="0.3">
      <c r="A45" s="202">
        <v>34</v>
      </c>
      <c r="B45" s="47"/>
      <c r="C45" s="47" t="e">
        <f t="shared" si="8"/>
        <v>#N/A</v>
      </c>
      <c r="D45" s="53" t="e">
        <f t="shared" si="9"/>
        <v>#N/A</v>
      </c>
      <c r="E45" s="67" t="e">
        <f t="shared" si="10"/>
        <v>#N/A</v>
      </c>
      <c r="F45" s="272"/>
      <c r="G45" s="272"/>
      <c r="H45" s="271"/>
      <c r="I45" s="272"/>
      <c r="J45" s="272"/>
      <c r="K45" s="271"/>
      <c r="L45" s="272"/>
      <c r="M45" s="272"/>
      <c r="N45" s="272"/>
      <c r="O45" s="271"/>
      <c r="P45" s="271"/>
      <c r="Q45" s="271"/>
      <c r="R45" s="271"/>
      <c r="S45" s="271"/>
      <c r="T45" s="203">
        <f t="shared" si="6"/>
        <v>0</v>
      </c>
      <c r="U45" s="204"/>
      <c r="V45" s="205" t="e">
        <f t="shared" ca="1" si="3"/>
        <v>#N/A</v>
      </c>
      <c r="W45" s="206" t="e">
        <f t="shared" si="4"/>
        <v>#N/A</v>
      </c>
      <c r="X45" s="205"/>
      <c r="Z45" s="212"/>
      <c r="AA45" s="212"/>
      <c r="AB45" s="181"/>
      <c r="AC45" s="212"/>
      <c r="AD45" s="212"/>
      <c r="AE45" s="213"/>
      <c r="AF45" s="181"/>
      <c r="AG45" s="181"/>
      <c r="AH45" s="210"/>
      <c r="AI45" s="181"/>
      <c r="AJ45" s="181"/>
      <c r="AK45" s="181"/>
    </row>
    <row r="46" spans="1:37" s="3" customFormat="1" ht="13.5" hidden="1" customHeight="1" outlineLevel="1" x14ac:dyDescent="0.3">
      <c r="A46" s="202">
        <v>35</v>
      </c>
      <c r="B46" s="47"/>
      <c r="C46" s="47" t="e">
        <f t="shared" si="8"/>
        <v>#N/A</v>
      </c>
      <c r="D46" s="53" t="e">
        <f t="shared" si="9"/>
        <v>#N/A</v>
      </c>
      <c r="E46" s="67" t="e">
        <f t="shared" si="10"/>
        <v>#N/A</v>
      </c>
      <c r="F46" s="272"/>
      <c r="G46" s="272"/>
      <c r="H46" s="271"/>
      <c r="I46" s="272"/>
      <c r="J46" s="272"/>
      <c r="K46" s="271"/>
      <c r="L46" s="272"/>
      <c r="M46" s="272"/>
      <c r="N46" s="272"/>
      <c r="O46" s="271"/>
      <c r="P46" s="271"/>
      <c r="Q46" s="271"/>
      <c r="R46" s="271"/>
      <c r="S46" s="271"/>
      <c r="T46" s="203">
        <f t="shared" si="6"/>
        <v>0</v>
      </c>
      <c r="U46" s="204"/>
      <c r="V46" s="205" t="e">
        <f t="shared" ca="1" si="3"/>
        <v>#N/A</v>
      </c>
      <c r="W46" s="206" t="e">
        <f t="shared" si="4"/>
        <v>#N/A</v>
      </c>
      <c r="X46" s="205"/>
      <c r="Z46" s="212"/>
      <c r="AA46" s="212"/>
      <c r="AB46" s="181"/>
      <c r="AC46" s="212"/>
      <c r="AD46" s="212"/>
      <c r="AE46" s="213"/>
      <c r="AF46" s="181"/>
      <c r="AG46" s="181"/>
      <c r="AH46" s="210"/>
      <c r="AI46" s="181"/>
      <c r="AJ46" s="181"/>
      <c r="AK46" s="181"/>
    </row>
    <row r="47" spans="1:37" s="3" customFormat="1" ht="13.5" hidden="1" customHeight="1" outlineLevel="1" x14ac:dyDescent="0.3">
      <c r="A47" s="202">
        <v>36</v>
      </c>
      <c r="B47" s="47"/>
      <c r="C47" s="47" t="e">
        <f t="shared" si="8"/>
        <v>#N/A</v>
      </c>
      <c r="D47" s="53" t="e">
        <f t="shared" si="9"/>
        <v>#N/A</v>
      </c>
      <c r="E47" s="67" t="e">
        <f t="shared" si="10"/>
        <v>#N/A</v>
      </c>
      <c r="F47" s="272"/>
      <c r="G47" s="272"/>
      <c r="H47" s="271"/>
      <c r="I47" s="272"/>
      <c r="J47" s="272"/>
      <c r="K47" s="271"/>
      <c r="L47" s="272"/>
      <c r="M47" s="272"/>
      <c r="N47" s="272"/>
      <c r="O47" s="271"/>
      <c r="P47" s="271"/>
      <c r="Q47" s="271"/>
      <c r="R47" s="271"/>
      <c r="S47" s="271"/>
      <c r="T47" s="203">
        <f t="shared" si="6"/>
        <v>0</v>
      </c>
      <c r="U47" s="204"/>
      <c r="V47" s="205" t="e">
        <f t="shared" ca="1" si="3"/>
        <v>#N/A</v>
      </c>
      <c r="W47" s="206" t="e">
        <f t="shared" si="4"/>
        <v>#N/A</v>
      </c>
      <c r="X47" s="205"/>
      <c r="Z47" s="212"/>
      <c r="AA47" s="212"/>
      <c r="AB47" s="181"/>
      <c r="AC47" s="212"/>
      <c r="AD47" s="212"/>
      <c r="AE47" s="213"/>
      <c r="AF47" s="181"/>
      <c r="AG47" s="181"/>
      <c r="AH47" s="210"/>
      <c r="AI47" s="181"/>
      <c r="AJ47" s="181"/>
      <c r="AK47" s="181"/>
    </row>
    <row r="48" spans="1:37" s="3" customFormat="1" ht="13.5" hidden="1" customHeight="1" outlineLevel="1" x14ac:dyDescent="0.3">
      <c r="A48" s="202">
        <v>37</v>
      </c>
      <c r="B48" s="47"/>
      <c r="C48" s="47" t="e">
        <f t="shared" si="8"/>
        <v>#N/A</v>
      </c>
      <c r="D48" s="53" t="e">
        <f t="shared" si="9"/>
        <v>#N/A</v>
      </c>
      <c r="E48" s="67" t="e">
        <f t="shared" si="10"/>
        <v>#N/A</v>
      </c>
      <c r="F48" s="272"/>
      <c r="G48" s="272"/>
      <c r="H48" s="271"/>
      <c r="I48" s="272"/>
      <c r="J48" s="272"/>
      <c r="K48" s="271"/>
      <c r="L48" s="272"/>
      <c r="M48" s="272"/>
      <c r="N48" s="272"/>
      <c r="O48" s="271"/>
      <c r="P48" s="271"/>
      <c r="Q48" s="271"/>
      <c r="R48" s="271"/>
      <c r="S48" s="271"/>
      <c r="T48" s="203">
        <f t="shared" si="6"/>
        <v>0</v>
      </c>
      <c r="U48" s="204"/>
      <c r="V48" s="205" t="e">
        <f t="shared" ca="1" si="3"/>
        <v>#N/A</v>
      </c>
      <c r="W48" s="206" t="e">
        <f t="shared" si="4"/>
        <v>#N/A</v>
      </c>
      <c r="X48" s="205"/>
      <c r="Z48" s="212"/>
      <c r="AA48" s="212"/>
      <c r="AB48" s="181"/>
      <c r="AC48" s="212"/>
      <c r="AD48" s="212"/>
      <c r="AE48" s="213"/>
      <c r="AF48" s="181"/>
      <c r="AG48" s="181"/>
      <c r="AH48" s="210"/>
      <c r="AI48" s="181"/>
      <c r="AJ48" s="181"/>
      <c r="AK48" s="181"/>
    </row>
    <row r="49" spans="1:38" s="3" customFormat="1" ht="13.5" hidden="1" customHeight="1" outlineLevel="1" x14ac:dyDescent="0.3">
      <c r="A49" s="202">
        <v>38</v>
      </c>
      <c r="B49" s="47"/>
      <c r="C49" s="47" t="e">
        <f t="shared" si="8"/>
        <v>#N/A</v>
      </c>
      <c r="D49" s="53" t="e">
        <f t="shared" si="9"/>
        <v>#N/A</v>
      </c>
      <c r="E49" s="67" t="e">
        <f t="shared" si="10"/>
        <v>#N/A</v>
      </c>
      <c r="F49" s="272"/>
      <c r="G49" s="272"/>
      <c r="H49" s="271"/>
      <c r="I49" s="272"/>
      <c r="J49" s="272"/>
      <c r="K49" s="271"/>
      <c r="L49" s="272"/>
      <c r="M49" s="272"/>
      <c r="N49" s="272"/>
      <c r="O49" s="271"/>
      <c r="P49" s="271"/>
      <c r="Q49" s="271"/>
      <c r="R49" s="271"/>
      <c r="S49" s="271"/>
      <c r="T49" s="203">
        <f t="shared" si="6"/>
        <v>0</v>
      </c>
      <c r="U49" s="204"/>
      <c r="V49" s="205" t="e">
        <f t="shared" ca="1" si="3"/>
        <v>#N/A</v>
      </c>
      <c r="W49" s="206" t="e">
        <f t="shared" si="4"/>
        <v>#N/A</v>
      </c>
      <c r="X49" s="205">
        <f t="shared" ca="1" si="5"/>
        <v>0</v>
      </c>
      <c r="Z49" s="212"/>
      <c r="AA49" s="212"/>
      <c r="AB49" s="181"/>
      <c r="AC49" s="212"/>
      <c r="AD49" s="212"/>
      <c r="AE49" s="213"/>
      <c r="AF49" s="181"/>
      <c r="AG49" s="181"/>
      <c r="AH49" s="210"/>
      <c r="AI49" s="181"/>
      <c r="AJ49" s="181"/>
      <c r="AK49" s="181"/>
    </row>
    <row r="50" spans="1:38" s="3" customFormat="1" ht="13.5" hidden="1" customHeight="1" outlineLevel="1" x14ac:dyDescent="0.3">
      <c r="A50" s="202">
        <v>39</v>
      </c>
      <c r="B50" s="47"/>
      <c r="C50" s="47" t="e">
        <f t="shared" si="8"/>
        <v>#N/A</v>
      </c>
      <c r="D50" s="53" t="e">
        <f t="shared" si="9"/>
        <v>#N/A</v>
      </c>
      <c r="E50" s="67" t="e">
        <f t="shared" si="10"/>
        <v>#N/A</v>
      </c>
      <c r="F50" s="272"/>
      <c r="G50" s="272"/>
      <c r="H50" s="271"/>
      <c r="I50" s="272"/>
      <c r="J50" s="272"/>
      <c r="K50" s="271"/>
      <c r="L50" s="272"/>
      <c r="M50" s="272"/>
      <c r="N50" s="272"/>
      <c r="O50" s="271"/>
      <c r="P50" s="271"/>
      <c r="Q50" s="271"/>
      <c r="R50" s="271"/>
      <c r="S50" s="271"/>
      <c r="T50" s="203">
        <f t="shared" si="6"/>
        <v>0</v>
      </c>
      <c r="U50" s="204"/>
      <c r="V50" s="205" t="e">
        <f t="shared" ca="1" si="3"/>
        <v>#N/A</v>
      </c>
      <c r="W50" s="206" t="e">
        <f t="shared" si="4"/>
        <v>#N/A</v>
      </c>
      <c r="X50" s="205">
        <f t="shared" ca="1" si="5"/>
        <v>0</v>
      </c>
      <c r="Z50" s="212"/>
      <c r="AA50" s="212"/>
      <c r="AB50" s="212"/>
      <c r="AC50" s="212"/>
      <c r="AD50" s="212"/>
      <c r="AE50" s="213"/>
      <c r="AF50" s="181"/>
      <c r="AG50" s="181"/>
      <c r="AH50" s="211"/>
      <c r="AI50" s="181"/>
      <c r="AJ50" s="181"/>
      <c r="AK50" s="181"/>
    </row>
    <row r="51" spans="1:38" s="3" customFormat="1" ht="13.5" hidden="1" customHeight="1" outlineLevel="1" x14ac:dyDescent="0.3">
      <c r="A51" s="202">
        <v>40</v>
      </c>
      <c r="B51" s="47"/>
      <c r="C51" s="47" t="e">
        <f t="shared" si="8"/>
        <v>#N/A</v>
      </c>
      <c r="D51" s="53" t="e">
        <f t="shared" si="9"/>
        <v>#N/A</v>
      </c>
      <c r="E51" s="67" t="e">
        <f t="shared" si="10"/>
        <v>#N/A</v>
      </c>
      <c r="F51" s="272"/>
      <c r="G51" s="272"/>
      <c r="H51" s="271"/>
      <c r="I51" s="272"/>
      <c r="J51" s="272"/>
      <c r="K51" s="271"/>
      <c r="L51" s="272"/>
      <c r="M51" s="272"/>
      <c r="N51" s="272"/>
      <c r="O51" s="271"/>
      <c r="P51" s="271"/>
      <c r="Q51" s="271"/>
      <c r="R51" s="271"/>
      <c r="S51" s="271"/>
      <c r="T51" s="203">
        <f t="shared" si="6"/>
        <v>0</v>
      </c>
      <c r="U51" s="204"/>
      <c r="V51" s="205" t="e">
        <f t="shared" ca="1" si="3"/>
        <v>#N/A</v>
      </c>
      <c r="W51" s="206" t="e">
        <f t="shared" si="4"/>
        <v>#N/A</v>
      </c>
      <c r="X51" s="205">
        <f t="shared" ca="1" si="5"/>
        <v>0</v>
      </c>
      <c r="Z51" s="212"/>
      <c r="AA51" s="212"/>
      <c r="AB51" s="212"/>
      <c r="AC51" s="212"/>
      <c r="AD51" s="212"/>
      <c r="AE51" s="213"/>
      <c r="AF51" s="181"/>
      <c r="AG51" s="181"/>
      <c r="AH51" s="214"/>
      <c r="AI51" s="181"/>
      <c r="AJ51" s="181"/>
      <c r="AK51" s="181"/>
    </row>
    <row r="52" spans="1:38" s="3" customFormat="1" ht="14.1" hidden="1" customHeight="1" outlineLevel="1" x14ac:dyDescent="0.3">
      <c r="A52" s="202">
        <v>41</v>
      </c>
      <c r="B52" s="209"/>
      <c r="C52" s="47" t="e">
        <f t="shared" si="8"/>
        <v>#N/A</v>
      </c>
      <c r="D52" s="53" t="e">
        <f t="shared" si="9"/>
        <v>#N/A</v>
      </c>
      <c r="E52" s="67" t="e">
        <f t="shared" si="10"/>
        <v>#N/A</v>
      </c>
      <c r="F52" s="272"/>
      <c r="G52" s="272"/>
      <c r="H52" s="271"/>
      <c r="I52" s="272"/>
      <c r="J52" s="272"/>
      <c r="K52" s="271"/>
      <c r="L52" s="272"/>
      <c r="M52" s="272"/>
      <c r="N52" s="272"/>
      <c r="O52" s="271"/>
      <c r="P52" s="271"/>
      <c r="Q52" s="271"/>
      <c r="R52" s="271"/>
      <c r="S52" s="271"/>
      <c r="T52" s="203">
        <f t="shared" si="6"/>
        <v>0</v>
      </c>
      <c r="U52" s="204"/>
      <c r="V52" s="205" t="e">
        <f t="shared" ca="1" si="3"/>
        <v>#N/A</v>
      </c>
      <c r="W52" s="206" t="e">
        <f t="shared" si="4"/>
        <v>#N/A</v>
      </c>
      <c r="X52" s="205">
        <f t="shared" ca="1" si="5"/>
        <v>0</v>
      </c>
      <c r="Z52" s="212"/>
      <c r="AA52" s="212"/>
      <c r="AB52" s="212"/>
      <c r="AC52" s="212"/>
      <c r="AD52" s="212"/>
      <c r="AE52" s="213"/>
      <c r="AF52" s="181"/>
      <c r="AG52" s="181"/>
      <c r="AH52" s="210"/>
      <c r="AI52" s="181"/>
      <c r="AJ52" s="181"/>
      <c r="AK52" s="181"/>
    </row>
    <row r="53" spans="1:38" s="3" customFormat="1" collapsed="1" x14ac:dyDescent="0.3">
      <c r="A53" s="215"/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6"/>
      <c r="V53" s="78"/>
      <c r="W53" s="180"/>
      <c r="X53" s="180"/>
      <c r="Y53" s="180"/>
      <c r="Z53" s="212"/>
      <c r="AA53" s="212"/>
      <c r="AB53" s="212"/>
      <c r="AC53" s="212"/>
      <c r="AD53" s="212"/>
      <c r="AE53" s="213"/>
      <c r="AF53" s="181"/>
      <c r="AG53" s="181"/>
      <c r="AH53" s="181"/>
      <c r="AI53" s="181"/>
      <c r="AJ53" s="181"/>
      <c r="AK53" s="181"/>
    </row>
    <row r="54" spans="1:38" ht="6.75" customHeight="1" thickBot="1" x14ac:dyDescent="0.35">
      <c r="Z54" s="212"/>
      <c r="AA54" s="212"/>
      <c r="AB54" s="212"/>
      <c r="AC54" s="212"/>
      <c r="AD54" s="212"/>
      <c r="AE54" s="217"/>
    </row>
    <row r="55" spans="1:38" ht="44.1" customHeight="1" x14ac:dyDescent="0.3">
      <c r="A55" s="363" t="s">
        <v>109</v>
      </c>
      <c r="B55" s="363"/>
      <c r="C55" s="363"/>
      <c r="D55" s="363"/>
      <c r="E55" s="363"/>
      <c r="F55" s="353" t="s">
        <v>188</v>
      </c>
      <c r="G55" s="353" t="s">
        <v>189</v>
      </c>
      <c r="H55" s="364" t="s">
        <v>190</v>
      </c>
      <c r="I55" s="366"/>
      <c r="J55" s="361"/>
      <c r="K55" s="357"/>
      <c r="L55" s="351" t="s">
        <v>191</v>
      </c>
      <c r="M55" s="353" t="s">
        <v>192</v>
      </c>
      <c r="N55" s="353" t="s">
        <v>193</v>
      </c>
      <c r="O55" s="359" t="s">
        <v>194</v>
      </c>
      <c r="P55" s="351" t="s">
        <v>195</v>
      </c>
      <c r="Q55" s="353" t="s">
        <v>196</v>
      </c>
      <c r="R55" s="353" t="s">
        <v>197</v>
      </c>
      <c r="S55" s="353" t="s">
        <v>198</v>
      </c>
      <c r="T55" s="273"/>
      <c r="U55" s="196"/>
      <c r="V55" s="197" t="s">
        <v>95</v>
      </c>
      <c r="W55" s="197"/>
      <c r="X55" s="197" t="s">
        <v>91</v>
      </c>
      <c r="Z55" s="212"/>
      <c r="AA55" s="212"/>
      <c r="AB55" s="212"/>
      <c r="AC55" s="212"/>
      <c r="AD55" s="212"/>
      <c r="AE55" s="217"/>
    </row>
    <row r="56" spans="1:38" ht="18.899999999999999" customHeight="1" x14ac:dyDescent="0.3">
      <c r="A56" s="218"/>
      <c r="B56" s="355"/>
      <c r="C56" s="356"/>
      <c r="D56" s="356"/>
      <c r="E56" s="356"/>
      <c r="F56" s="354"/>
      <c r="G56" s="354"/>
      <c r="H56" s="365"/>
      <c r="I56" s="367"/>
      <c r="J56" s="362"/>
      <c r="K56" s="358"/>
      <c r="L56" s="352"/>
      <c r="M56" s="354"/>
      <c r="N56" s="354"/>
      <c r="O56" s="360"/>
      <c r="P56" s="352"/>
      <c r="Q56" s="354"/>
      <c r="R56" s="354"/>
      <c r="S56" s="354"/>
      <c r="T56" s="274"/>
      <c r="U56" s="200"/>
      <c r="Z56" s="212"/>
      <c r="AA56" s="181"/>
      <c r="AB56" s="212"/>
      <c r="AC56" s="212"/>
      <c r="AD56" s="212"/>
      <c r="AE56" s="217"/>
      <c r="AL56" s="114"/>
    </row>
    <row r="57" spans="1:38" ht="14.1" customHeight="1" x14ac:dyDescent="0.3">
      <c r="A57" s="219">
        <v>1</v>
      </c>
      <c r="B57" s="220">
        <v>85</v>
      </c>
      <c r="C57" s="47" t="str">
        <f t="shared" ref="C57:C62" si="11">VLOOKUP($B57,STARTOVKA,2,0)</f>
        <v>GER19970211</v>
      </c>
      <c r="D57" s="53" t="str">
        <f t="shared" ref="D57:D62" si="12">VLOOKUP($B57,STARTOVKA,3,0)</f>
        <v>URNAUER Lauritz</v>
      </c>
      <c r="E57" s="67" t="str">
        <f t="shared" ref="E57:E62" si="13">VLOOKUP($B57,STARTOVKA,4,0)</f>
        <v>GERMAN NATIONAL TEAM</v>
      </c>
      <c r="F57" s="271">
        <v>5</v>
      </c>
      <c r="G57" s="271">
        <v>3</v>
      </c>
      <c r="H57" s="271">
        <v>3</v>
      </c>
      <c r="I57" s="272"/>
      <c r="J57" s="272"/>
      <c r="K57" s="272"/>
      <c r="L57" s="275"/>
      <c r="M57" s="275"/>
      <c r="N57" s="275"/>
      <c r="O57" s="275"/>
      <c r="P57" s="275"/>
      <c r="Q57" s="275"/>
      <c r="R57" s="275"/>
      <c r="S57" s="275"/>
      <c r="T57" s="203">
        <f t="shared" ref="T57:T62" si="14">SUM(F57:S57)</f>
        <v>11</v>
      </c>
      <c r="U57" s="204"/>
      <c r="V57" s="205">
        <f t="shared" ref="V57" ca="1" si="15">VLOOKUP(B57,INDIRECT($V$1),12,0)</f>
        <v>61</v>
      </c>
      <c r="W57" s="206"/>
      <c r="X57" s="205">
        <f t="shared" ref="X57" ca="1" si="16">IFERROR(VLOOKUP(B57,INDIRECT($X$3),1,0),0)</f>
        <v>85</v>
      </c>
      <c r="Z57" s="212"/>
      <c r="AA57" s="210"/>
      <c r="AB57" s="212"/>
      <c r="AC57" s="212"/>
      <c r="AD57" s="212"/>
      <c r="AE57" s="217"/>
      <c r="AF57" s="208" t="s">
        <v>72</v>
      </c>
      <c r="AG57" s="208"/>
      <c r="AL57" s="210"/>
    </row>
    <row r="58" spans="1:38" ht="14.1" customHeight="1" x14ac:dyDescent="0.3">
      <c r="A58" s="219">
        <v>2</v>
      </c>
      <c r="B58" s="220">
        <v>71</v>
      </c>
      <c r="C58" s="47" t="str">
        <f t="shared" si="11"/>
        <v>CZE19990814*</v>
      </c>
      <c r="D58" s="53" t="str">
        <f t="shared" si="12"/>
        <v xml:space="preserve">KLABOUCH Petr </v>
      </c>
      <c r="E58" s="67" t="str">
        <f t="shared" si="13"/>
        <v>MIX2  - VELO - CLUB CIRKL Č.BUDĚJOVICE</v>
      </c>
      <c r="F58" s="271"/>
      <c r="G58" s="271">
        <v>5</v>
      </c>
      <c r="H58" s="271">
        <v>5</v>
      </c>
      <c r="I58" s="272"/>
      <c r="J58" s="272"/>
      <c r="K58" s="272"/>
      <c r="L58" s="275"/>
      <c r="M58" s="275"/>
      <c r="N58" s="275"/>
      <c r="O58" s="275"/>
      <c r="P58" s="275"/>
      <c r="Q58" s="275"/>
      <c r="R58" s="275"/>
      <c r="S58" s="275"/>
      <c r="T58" s="203">
        <f t="shared" si="14"/>
        <v>10</v>
      </c>
      <c r="U58" s="204"/>
      <c r="V58" s="205">
        <f t="shared" ref="V58:V80" ca="1" si="17">VLOOKUP(B58,INDIRECT($V$1),12,0)</f>
        <v>33</v>
      </c>
      <c r="W58" s="206"/>
      <c r="X58" s="205">
        <f t="shared" ref="X58:X80" ca="1" si="18">IFERROR(VLOOKUP(B58,INDIRECT($X$3),1,0),0)</f>
        <v>71</v>
      </c>
      <c r="Z58" s="212"/>
      <c r="AA58" s="210"/>
      <c r="AB58" s="212"/>
      <c r="AC58" s="212"/>
      <c r="AD58" s="212"/>
      <c r="AE58" s="217"/>
      <c r="AF58" s="80"/>
      <c r="AG58" s="80" t="s">
        <v>73</v>
      </c>
      <c r="AL58" s="210"/>
    </row>
    <row r="59" spans="1:38" ht="14.1" customHeight="1" x14ac:dyDescent="0.3">
      <c r="A59" s="219">
        <v>3</v>
      </c>
      <c r="B59" s="220">
        <v>51</v>
      </c>
      <c r="C59" s="47" t="str">
        <f t="shared" si="11"/>
        <v>*CZE19980914</v>
      </c>
      <c r="D59" s="53" t="str">
        <f t="shared" si="12"/>
        <v>TRACHTULEC Petr</v>
      </c>
      <c r="E59" s="67" t="str">
        <f t="shared" si="13"/>
        <v>MIX1 - CK FESO PETŘVALD</v>
      </c>
      <c r="F59" s="271"/>
      <c r="G59" s="271">
        <v>2</v>
      </c>
      <c r="H59" s="271">
        <v>2</v>
      </c>
      <c r="I59" s="272"/>
      <c r="J59" s="272"/>
      <c r="K59" s="272"/>
      <c r="L59" s="275"/>
      <c r="M59" s="275"/>
      <c r="N59" s="275"/>
      <c r="O59" s="275"/>
      <c r="P59" s="275"/>
      <c r="Q59" s="275"/>
      <c r="R59" s="275"/>
      <c r="S59" s="275"/>
      <c r="T59" s="203">
        <f t="shared" si="14"/>
        <v>4</v>
      </c>
      <c r="U59" s="204"/>
      <c r="V59" s="205">
        <f t="shared" ca="1" si="17"/>
        <v>50</v>
      </c>
      <c r="W59" s="206"/>
      <c r="X59" s="205">
        <f t="shared" ca="1" si="18"/>
        <v>51</v>
      </c>
      <c r="Z59" s="212"/>
      <c r="AA59" s="210"/>
      <c r="AB59" s="212"/>
      <c r="AC59" s="212"/>
      <c r="AD59" s="212"/>
      <c r="AE59" s="217"/>
      <c r="AF59" s="80"/>
      <c r="AG59" s="80" t="s">
        <v>71</v>
      </c>
      <c r="AL59" s="210"/>
    </row>
    <row r="60" spans="1:38" ht="14.1" customHeight="1" x14ac:dyDescent="0.3">
      <c r="A60" s="219">
        <v>4</v>
      </c>
      <c r="B60" s="220">
        <v>74</v>
      </c>
      <c r="C60" s="47" t="str">
        <f t="shared" si="11"/>
        <v>*CZE19980303</v>
      </c>
      <c r="D60" s="53" t="str">
        <f t="shared" si="12"/>
        <v xml:space="preserve">KOUDELA Dominik </v>
      </c>
      <c r="E60" s="67" t="str">
        <f t="shared" si="13"/>
        <v xml:space="preserve">MIX2  - TJ KOVO PRAHA </v>
      </c>
      <c r="F60" s="271">
        <v>3</v>
      </c>
      <c r="G60" s="271"/>
      <c r="H60" s="271"/>
      <c r="I60" s="272"/>
      <c r="J60" s="272"/>
      <c r="K60" s="272"/>
      <c r="L60" s="275"/>
      <c r="M60" s="275"/>
      <c r="N60" s="275"/>
      <c r="O60" s="275"/>
      <c r="P60" s="275"/>
      <c r="Q60" s="275"/>
      <c r="R60" s="275"/>
      <c r="S60" s="275"/>
      <c r="T60" s="203">
        <f t="shared" si="14"/>
        <v>3</v>
      </c>
      <c r="U60" s="204"/>
      <c r="V60" s="205">
        <f t="shared" ca="1" si="17"/>
        <v>116</v>
      </c>
      <c r="W60" s="206"/>
      <c r="X60" s="205">
        <f t="shared" ca="1" si="18"/>
        <v>74</v>
      </c>
      <c r="Z60" s="212"/>
      <c r="AA60" s="210"/>
      <c r="AB60" s="212"/>
      <c r="AC60" s="212"/>
      <c r="AD60" s="212"/>
      <c r="AE60" s="217"/>
      <c r="AL60" s="210"/>
    </row>
    <row r="61" spans="1:38" ht="14.1" customHeight="1" x14ac:dyDescent="0.3">
      <c r="A61" s="219">
        <v>5</v>
      </c>
      <c r="B61" s="220">
        <v>147</v>
      </c>
      <c r="C61" s="47" t="str">
        <f t="shared" si="11"/>
        <v>CZE19970127</v>
      </c>
      <c r="D61" s="53" t="str">
        <f t="shared" si="12"/>
        <v xml:space="preserve">KOTOUČEK Matěj </v>
      </c>
      <c r="E61" s="67" t="str">
        <f t="shared" si="13"/>
        <v xml:space="preserve">MIX6 - TJ FAVORIT BRNO </v>
      </c>
      <c r="F61" s="271">
        <v>2</v>
      </c>
      <c r="G61" s="271"/>
      <c r="H61" s="271">
        <v>1</v>
      </c>
      <c r="I61" s="272"/>
      <c r="J61" s="272"/>
      <c r="K61" s="272"/>
      <c r="L61" s="275"/>
      <c r="M61" s="275"/>
      <c r="N61" s="275"/>
      <c r="O61" s="275"/>
      <c r="P61" s="275"/>
      <c r="Q61" s="275"/>
      <c r="R61" s="275"/>
      <c r="S61" s="275"/>
      <c r="T61" s="203">
        <f t="shared" si="14"/>
        <v>3</v>
      </c>
      <c r="U61" s="204"/>
      <c r="V61" s="205">
        <f t="shared" ca="1" si="17"/>
        <v>31</v>
      </c>
      <c r="W61" s="206"/>
      <c r="X61" s="205">
        <f t="shared" ca="1" si="18"/>
        <v>147</v>
      </c>
      <c r="Z61" s="212"/>
      <c r="AA61" s="181"/>
      <c r="AB61" s="210"/>
      <c r="AC61" s="212"/>
      <c r="AD61" s="212"/>
      <c r="AE61" s="217"/>
      <c r="AL61" s="114"/>
    </row>
    <row r="62" spans="1:38" ht="14.1" customHeight="1" x14ac:dyDescent="0.3">
      <c r="A62" s="219">
        <v>6</v>
      </c>
      <c r="B62" s="220">
        <v>33</v>
      </c>
      <c r="C62" s="47" t="str">
        <f t="shared" si="11"/>
        <v>*GER19980912</v>
      </c>
      <c r="D62" s="53" t="str">
        <f t="shared" si="12"/>
        <v>CLAUSS Marc</v>
      </c>
      <c r="E62" s="67" t="str">
        <f t="shared" si="13"/>
        <v>JUNIOREN SCHWALBE TEAM SACHSEN</v>
      </c>
      <c r="F62" s="271">
        <v>1</v>
      </c>
      <c r="G62" s="271">
        <v>1</v>
      </c>
      <c r="H62" s="271"/>
      <c r="I62" s="272"/>
      <c r="J62" s="272"/>
      <c r="K62" s="272"/>
      <c r="L62" s="275"/>
      <c r="M62" s="275"/>
      <c r="N62" s="275"/>
      <c r="O62" s="275"/>
      <c r="P62" s="275"/>
      <c r="Q62" s="275"/>
      <c r="R62" s="275"/>
      <c r="S62" s="275"/>
      <c r="T62" s="203">
        <f t="shared" si="14"/>
        <v>2</v>
      </c>
      <c r="U62" s="204"/>
      <c r="V62" s="205">
        <f t="shared" ca="1" si="17"/>
        <v>79</v>
      </c>
      <c r="W62" s="206"/>
      <c r="X62" s="205">
        <f t="shared" ca="1" si="18"/>
        <v>33</v>
      </c>
      <c r="Z62" s="212"/>
      <c r="AA62" s="181"/>
      <c r="AB62" s="210"/>
      <c r="AC62" s="212"/>
      <c r="AD62" s="212"/>
      <c r="AE62" s="217"/>
      <c r="AL62" s="114"/>
    </row>
    <row r="63" spans="1:38" ht="14.1" hidden="1" customHeight="1" outlineLevel="1" x14ac:dyDescent="0.3">
      <c r="A63" s="219">
        <v>7</v>
      </c>
      <c r="B63" s="220"/>
      <c r="C63" s="47" t="e">
        <f t="shared" ref="C63:C80" si="19">VLOOKUP($B63,STARTOVKA,2,0)</f>
        <v>#N/A</v>
      </c>
      <c r="D63" s="53" t="e">
        <f t="shared" ref="D63:D80" si="20">VLOOKUP($B63,STARTOVKA,3,0)</f>
        <v>#N/A</v>
      </c>
      <c r="E63" s="67" t="e">
        <f t="shared" ref="E63:E80" si="21">VLOOKUP($B63,STARTOVKA,4,0)</f>
        <v>#N/A</v>
      </c>
      <c r="F63" s="271"/>
      <c r="G63" s="271"/>
      <c r="H63" s="271"/>
      <c r="I63" s="272"/>
      <c r="J63" s="272"/>
      <c r="K63" s="272"/>
      <c r="L63" s="275"/>
      <c r="M63" s="275"/>
      <c r="N63" s="275"/>
      <c r="O63" s="275"/>
      <c r="P63" s="275"/>
      <c r="Q63" s="275"/>
      <c r="R63" s="275"/>
      <c r="S63" s="275"/>
      <c r="T63" s="203">
        <f t="shared" ref="T63:T80" si="22">SUM(F63:S63)</f>
        <v>0</v>
      </c>
      <c r="U63" s="204"/>
      <c r="V63" s="205" t="e">
        <f t="shared" ca="1" si="17"/>
        <v>#N/A</v>
      </c>
      <c r="W63" s="206"/>
      <c r="X63" s="205">
        <f t="shared" ca="1" si="18"/>
        <v>0</v>
      </c>
      <c r="Z63" s="212"/>
      <c r="AA63" s="181"/>
      <c r="AB63" s="210"/>
      <c r="AC63" s="212"/>
      <c r="AD63" s="212"/>
      <c r="AE63" s="217"/>
    </row>
    <row r="64" spans="1:38" ht="14.1" hidden="1" customHeight="1" outlineLevel="1" x14ac:dyDescent="0.3">
      <c r="A64" s="219">
        <v>8</v>
      </c>
      <c r="B64" s="220"/>
      <c r="C64" s="47" t="e">
        <f t="shared" si="19"/>
        <v>#N/A</v>
      </c>
      <c r="D64" s="53" t="e">
        <f t="shared" si="20"/>
        <v>#N/A</v>
      </c>
      <c r="E64" s="67" t="e">
        <f t="shared" si="21"/>
        <v>#N/A</v>
      </c>
      <c r="F64" s="271"/>
      <c r="G64" s="271"/>
      <c r="H64" s="271"/>
      <c r="I64" s="272"/>
      <c r="J64" s="272"/>
      <c r="K64" s="272"/>
      <c r="L64" s="275"/>
      <c r="M64" s="275"/>
      <c r="N64" s="275"/>
      <c r="O64" s="275"/>
      <c r="P64" s="275"/>
      <c r="Q64" s="275"/>
      <c r="R64" s="275"/>
      <c r="S64" s="275"/>
      <c r="T64" s="203">
        <f t="shared" si="22"/>
        <v>0</v>
      </c>
      <c r="U64" s="204"/>
      <c r="V64" s="205" t="e">
        <f t="shared" ca="1" si="17"/>
        <v>#N/A</v>
      </c>
      <c r="W64" s="206"/>
      <c r="X64" s="205">
        <f t="shared" ca="1" si="18"/>
        <v>0</v>
      </c>
      <c r="Z64" s="212"/>
      <c r="AA64" s="181"/>
      <c r="AB64" s="210"/>
      <c r="AC64" s="181"/>
      <c r="AD64" s="212"/>
      <c r="AE64" s="217"/>
    </row>
    <row r="65" spans="1:31" ht="14.1" hidden="1" customHeight="1" outlineLevel="1" x14ac:dyDescent="0.3">
      <c r="A65" s="219">
        <v>9</v>
      </c>
      <c r="B65" s="220"/>
      <c r="C65" s="47" t="e">
        <f t="shared" si="19"/>
        <v>#N/A</v>
      </c>
      <c r="D65" s="53" t="e">
        <f t="shared" si="20"/>
        <v>#N/A</v>
      </c>
      <c r="E65" s="67" t="e">
        <f t="shared" si="21"/>
        <v>#N/A</v>
      </c>
      <c r="F65" s="271"/>
      <c r="G65" s="271"/>
      <c r="H65" s="271"/>
      <c r="I65" s="272"/>
      <c r="J65" s="272"/>
      <c r="K65" s="272"/>
      <c r="L65" s="275"/>
      <c r="M65" s="275"/>
      <c r="N65" s="275"/>
      <c r="O65" s="275"/>
      <c r="P65" s="275"/>
      <c r="Q65" s="275"/>
      <c r="R65" s="275"/>
      <c r="S65" s="275"/>
      <c r="T65" s="203">
        <f t="shared" si="22"/>
        <v>0</v>
      </c>
      <c r="U65" s="204"/>
      <c r="V65" s="205" t="e">
        <f t="shared" ca="1" si="17"/>
        <v>#N/A</v>
      </c>
      <c r="W65" s="206"/>
      <c r="X65" s="205">
        <f t="shared" ca="1" si="18"/>
        <v>0</v>
      </c>
      <c r="Z65" s="212"/>
      <c r="AA65" s="210"/>
      <c r="AB65" s="181"/>
      <c r="AC65" s="210"/>
      <c r="AD65" s="212"/>
      <c r="AE65" s="217"/>
    </row>
    <row r="66" spans="1:31" ht="14.1" hidden="1" customHeight="1" outlineLevel="1" x14ac:dyDescent="0.3">
      <c r="A66" s="219">
        <v>10</v>
      </c>
      <c r="B66" s="220"/>
      <c r="C66" s="47" t="e">
        <f t="shared" si="19"/>
        <v>#N/A</v>
      </c>
      <c r="D66" s="53" t="e">
        <f t="shared" si="20"/>
        <v>#N/A</v>
      </c>
      <c r="E66" s="67" t="e">
        <f t="shared" si="21"/>
        <v>#N/A</v>
      </c>
      <c r="F66" s="271"/>
      <c r="G66" s="271"/>
      <c r="H66" s="271"/>
      <c r="I66" s="272"/>
      <c r="J66" s="272"/>
      <c r="K66" s="272"/>
      <c r="L66" s="275"/>
      <c r="M66" s="275"/>
      <c r="N66" s="275"/>
      <c r="O66" s="275"/>
      <c r="P66" s="275"/>
      <c r="Q66" s="275"/>
      <c r="R66" s="275"/>
      <c r="S66" s="275"/>
      <c r="T66" s="203">
        <f t="shared" si="22"/>
        <v>0</v>
      </c>
      <c r="U66" s="204"/>
      <c r="V66" s="205" t="e">
        <f t="shared" ca="1" si="17"/>
        <v>#N/A</v>
      </c>
      <c r="W66" s="206"/>
      <c r="X66" s="205">
        <f t="shared" ca="1" si="18"/>
        <v>0</v>
      </c>
      <c r="Z66" s="212"/>
      <c r="AA66" s="210"/>
      <c r="AB66" s="181"/>
      <c r="AC66" s="210"/>
      <c r="AD66" s="212"/>
      <c r="AE66" s="217"/>
    </row>
    <row r="67" spans="1:31" ht="14.1" hidden="1" customHeight="1" outlineLevel="1" x14ac:dyDescent="0.3">
      <c r="A67" s="219">
        <v>11</v>
      </c>
      <c r="B67" s="220"/>
      <c r="C67" s="47" t="e">
        <f t="shared" si="19"/>
        <v>#N/A</v>
      </c>
      <c r="D67" s="53" t="e">
        <f t="shared" si="20"/>
        <v>#N/A</v>
      </c>
      <c r="E67" s="67" t="e">
        <f t="shared" si="21"/>
        <v>#N/A</v>
      </c>
      <c r="F67" s="271"/>
      <c r="G67" s="271"/>
      <c r="H67" s="271"/>
      <c r="I67" s="272"/>
      <c r="J67" s="272"/>
      <c r="K67" s="272"/>
      <c r="L67" s="275"/>
      <c r="M67" s="275"/>
      <c r="N67" s="275"/>
      <c r="O67" s="275"/>
      <c r="P67" s="275"/>
      <c r="Q67" s="275"/>
      <c r="R67" s="275"/>
      <c r="S67" s="275"/>
      <c r="T67" s="203">
        <f t="shared" si="22"/>
        <v>0</v>
      </c>
      <c r="U67" s="204"/>
      <c r="V67" s="205" t="e">
        <f t="shared" ca="1" si="17"/>
        <v>#N/A</v>
      </c>
      <c r="W67" s="206"/>
      <c r="X67" s="205">
        <f t="shared" ca="1" si="18"/>
        <v>0</v>
      </c>
      <c r="Z67" s="212"/>
      <c r="AA67" s="210"/>
      <c r="AB67" s="181"/>
      <c r="AC67" s="210"/>
      <c r="AD67" s="212"/>
      <c r="AE67" s="217"/>
    </row>
    <row r="68" spans="1:31" ht="14.1" hidden="1" customHeight="1" outlineLevel="1" x14ac:dyDescent="0.3">
      <c r="A68" s="219">
        <v>12</v>
      </c>
      <c r="B68" s="220"/>
      <c r="C68" s="47" t="e">
        <f t="shared" si="19"/>
        <v>#N/A</v>
      </c>
      <c r="D68" s="53" t="e">
        <f t="shared" si="20"/>
        <v>#N/A</v>
      </c>
      <c r="E68" s="67" t="e">
        <f t="shared" si="21"/>
        <v>#N/A</v>
      </c>
      <c r="F68" s="271"/>
      <c r="G68" s="271"/>
      <c r="H68" s="271"/>
      <c r="I68" s="272"/>
      <c r="J68" s="272"/>
      <c r="K68" s="272"/>
      <c r="L68" s="275"/>
      <c r="M68" s="275"/>
      <c r="N68" s="275"/>
      <c r="O68" s="275"/>
      <c r="P68" s="275"/>
      <c r="Q68" s="275"/>
      <c r="R68" s="275"/>
      <c r="S68" s="275"/>
      <c r="T68" s="203">
        <f t="shared" si="22"/>
        <v>0</v>
      </c>
      <c r="U68" s="204"/>
      <c r="V68" s="205" t="e">
        <f t="shared" ca="1" si="17"/>
        <v>#N/A</v>
      </c>
      <c r="W68" s="206"/>
      <c r="X68" s="205">
        <f t="shared" ca="1" si="18"/>
        <v>0</v>
      </c>
      <c r="Z68" s="212"/>
      <c r="AA68" s="210"/>
      <c r="AB68" s="181"/>
      <c r="AC68" s="210"/>
      <c r="AD68" s="212"/>
      <c r="AE68" s="217"/>
    </row>
    <row r="69" spans="1:31" ht="14.1" hidden="1" customHeight="1" outlineLevel="1" x14ac:dyDescent="0.3">
      <c r="A69" s="219">
        <v>13</v>
      </c>
      <c r="B69" s="220"/>
      <c r="C69" s="47" t="e">
        <f t="shared" si="19"/>
        <v>#N/A</v>
      </c>
      <c r="D69" s="53" t="e">
        <f t="shared" si="20"/>
        <v>#N/A</v>
      </c>
      <c r="E69" s="67" t="e">
        <f t="shared" si="21"/>
        <v>#N/A</v>
      </c>
      <c r="F69" s="271"/>
      <c r="G69" s="271"/>
      <c r="H69" s="271"/>
      <c r="I69" s="272"/>
      <c r="J69" s="272"/>
      <c r="K69" s="272"/>
      <c r="L69" s="275"/>
      <c r="M69" s="275"/>
      <c r="N69" s="275"/>
      <c r="O69" s="275"/>
      <c r="P69" s="275"/>
      <c r="Q69" s="275"/>
      <c r="R69" s="275"/>
      <c r="S69" s="275"/>
      <c r="T69" s="203">
        <f t="shared" si="22"/>
        <v>0</v>
      </c>
      <c r="U69" s="204"/>
      <c r="V69" s="205" t="e">
        <f t="shared" ca="1" si="17"/>
        <v>#N/A</v>
      </c>
      <c r="W69" s="206"/>
      <c r="X69" s="205">
        <f t="shared" ca="1" si="18"/>
        <v>0</v>
      </c>
      <c r="Z69" s="212"/>
      <c r="AA69" s="210"/>
      <c r="AB69" s="181"/>
      <c r="AC69" s="210"/>
      <c r="AD69" s="212"/>
      <c r="AE69" s="217"/>
    </row>
    <row r="70" spans="1:31" ht="14.1" hidden="1" customHeight="1" outlineLevel="1" x14ac:dyDescent="0.3">
      <c r="A70" s="219">
        <v>14</v>
      </c>
      <c r="B70" s="220"/>
      <c r="C70" s="47" t="e">
        <f t="shared" si="19"/>
        <v>#N/A</v>
      </c>
      <c r="D70" s="53" t="e">
        <f t="shared" si="20"/>
        <v>#N/A</v>
      </c>
      <c r="E70" s="67" t="e">
        <f t="shared" si="21"/>
        <v>#N/A</v>
      </c>
      <c r="F70" s="271"/>
      <c r="G70" s="271"/>
      <c r="H70" s="271"/>
      <c r="I70" s="272"/>
      <c r="J70" s="272"/>
      <c r="K70" s="272"/>
      <c r="L70" s="275"/>
      <c r="M70" s="275"/>
      <c r="N70" s="275"/>
      <c r="O70" s="275"/>
      <c r="P70" s="275"/>
      <c r="Q70" s="275"/>
      <c r="R70" s="275"/>
      <c r="S70" s="275"/>
      <c r="T70" s="203">
        <f t="shared" si="22"/>
        <v>0</v>
      </c>
      <c r="U70" s="204"/>
      <c r="V70" s="205" t="e">
        <f t="shared" ca="1" si="17"/>
        <v>#N/A</v>
      </c>
      <c r="W70" s="206"/>
      <c r="X70" s="205">
        <f t="shared" ca="1" si="18"/>
        <v>0</v>
      </c>
      <c r="Z70" s="212"/>
      <c r="AA70" s="210"/>
      <c r="AB70" s="181"/>
      <c r="AC70" s="210"/>
      <c r="AD70" s="212"/>
      <c r="AE70" s="217"/>
    </row>
    <row r="71" spans="1:31" ht="14.1" hidden="1" customHeight="1" outlineLevel="1" x14ac:dyDescent="0.3">
      <c r="A71" s="219">
        <v>15</v>
      </c>
      <c r="B71" s="220"/>
      <c r="C71" s="47" t="e">
        <f t="shared" si="19"/>
        <v>#N/A</v>
      </c>
      <c r="D71" s="53" t="e">
        <f t="shared" si="20"/>
        <v>#N/A</v>
      </c>
      <c r="E71" s="67" t="e">
        <f t="shared" si="21"/>
        <v>#N/A</v>
      </c>
      <c r="F71" s="271"/>
      <c r="G71" s="271"/>
      <c r="H71" s="271"/>
      <c r="I71" s="272"/>
      <c r="J71" s="272"/>
      <c r="K71" s="272"/>
      <c r="L71" s="275"/>
      <c r="M71" s="275"/>
      <c r="N71" s="275"/>
      <c r="O71" s="275"/>
      <c r="P71" s="275"/>
      <c r="Q71" s="275"/>
      <c r="R71" s="275"/>
      <c r="S71" s="275"/>
      <c r="T71" s="203">
        <f t="shared" si="22"/>
        <v>0</v>
      </c>
      <c r="U71" s="204"/>
      <c r="V71" s="205" t="e">
        <f t="shared" ca="1" si="17"/>
        <v>#N/A</v>
      </c>
      <c r="W71" s="206"/>
      <c r="X71" s="205">
        <f t="shared" ca="1" si="18"/>
        <v>0</v>
      </c>
      <c r="Z71" s="212"/>
      <c r="AA71" s="210"/>
      <c r="AB71" s="181"/>
      <c r="AC71" s="210"/>
      <c r="AD71" s="212"/>
      <c r="AE71" s="217"/>
    </row>
    <row r="72" spans="1:31" ht="14.1" hidden="1" customHeight="1" outlineLevel="1" x14ac:dyDescent="0.3">
      <c r="A72" s="219">
        <v>16</v>
      </c>
      <c r="B72" s="220"/>
      <c r="C72" s="47" t="e">
        <f t="shared" si="19"/>
        <v>#N/A</v>
      </c>
      <c r="D72" s="53" t="e">
        <f t="shared" si="20"/>
        <v>#N/A</v>
      </c>
      <c r="E72" s="67" t="e">
        <f t="shared" si="21"/>
        <v>#N/A</v>
      </c>
      <c r="F72" s="271"/>
      <c r="G72" s="271"/>
      <c r="H72" s="271"/>
      <c r="I72" s="272"/>
      <c r="J72" s="272"/>
      <c r="K72" s="272"/>
      <c r="L72" s="275"/>
      <c r="M72" s="275"/>
      <c r="N72" s="275"/>
      <c r="O72" s="275"/>
      <c r="P72" s="275"/>
      <c r="Q72" s="275"/>
      <c r="R72" s="275"/>
      <c r="S72" s="275"/>
      <c r="T72" s="203">
        <f t="shared" si="22"/>
        <v>0</v>
      </c>
      <c r="U72" s="204"/>
      <c r="V72" s="205" t="e">
        <f t="shared" ca="1" si="17"/>
        <v>#N/A</v>
      </c>
      <c r="W72" s="206"/>
      <c r="X72" s="205">
        <f t="shared" ca="1" si="18"/>
        <v>0</v>
      </c>
      <c r="Z72" s="212"/>
      <c r="AA72" s="210"/>
      <c r="AB72" s="181"/>
      <c r="AC72" s="210"/>
      <c r="AD72" s="212"/>
      <c r="AE72" s="217"/>
    </row>
    <row r="73" spans="1:31" ht="14.1" hidden="1" customHeight="1" outlineLevel="1" x14ac:dyDescent="0.3">
      <c r="A73" s="219">
        <v>17</v>
      </c>
      <c r="B73" s="220"/>
      <c r="C73" s="47" t="e">
        <f t="shared" si="19"/>
        <v>#N/A</v>
      </c>
      <c r="D73" s="53" t="e">
        <f t="shared" si="20"/>
        <v>#N/A</v>
      </c>
      <c r="E73" s="67" t="e">
        <f t="shared" si="21"/>
        <v>#N/A</v>
      </c>
      <c r="F73" s="271"/>
      <c r="G73" s="271"/>
      <c r="H73" s="271"/>
      <c r="I73" s="272"/>
      <c r="J73" s="272"/>
      <c r="K73" s="272"/>
      <c r="L73" s="275"/>
      <c r="M73" s="275"/>
      <c r="N73" s="275"/>
      <c r="O73" s="275"/>
      <c r="P73" s="275"/>
      <c r="Q73" s="275"/>
      <c r="R73" s="275"/>
      <c r="S73" s="275"/>
      <c r="T73" s="203">
        <f t="shared" si="22"/>
        <v>0</v>
      </c>
      <c r="U73" s="204"/>
      <c r="V73" s="205" t="e">
        <f t="shared" ca="1" si="17"/>
        <v>#N/A</v>
      </c>
      <c r="W73" s="206"/>
      <c r="X73" s="205">
        <f t="shared" ca="1" si="18"/>
        <v>0</v>
      </c>
      <c r="Z73" s="212"/>
      <c r="AA73" s="210"/>
      <c r="AB73" s="212"/>
      <c r="AC73" s="210"/>
      <c r="AD73" s="212"/>
      <c r="AE73" s="217"/>
    </row>
    <row r="74" spans="1:31" ht="14.1" hidden="1" customHeight="1" outlineLevel="1" x14ac:dyDescent="0.3">
      <c r="A74" s="219">
        <v>18</v>
      </c>
      <c r="B74" s="220"/>
      <c r="C74" s="47" t="e">
        <f t="shared" si="19"/>
        <v>#N/A</v>
      </c>
      <c r="D74" s="53" t="e">
        <f t="shared" si="20"/>
        <v>#N/A</v>
      </c>
      <c r="E74" s="67" t="e">
        <f t="shared" si="21"/>
        <v>#N/A</v>
      </c>
      <c r="F74" s="271"/>
      <c r="G74" s="271"/>
      <c r="H74" s="271"/>
      <c r="I74" s="272"/>
      <c r="J74" s="272"/>
      <c r="K74" s="272"/>
      <c r="L74" s="275"/>
      <c r="M74" s="275"/>
      <c r="N74" s="275"/>
      <c r="O74" s="275"/>
      <c r="P74" s="275"/>
      <c r="Q74" s="275"/>
      <c r="R74" s="275"/>
      <c r="S74" s="275"/>
      <c r="T74" s="203">
        <f t="shared" si="22"/>
        <v>0</v>
      </c>
      <c r="U74" s="204"/>
      <c r="V74" s="205" t="e">
        <f t="shared" ca="1" si="17"/>
        <v>#N/A</v>
      </c>
      <c r="W74" s="206"/>
      <c r="X74" s="205">
        <f t="shared" ca="1" si="18"/>
        <v>0</v>
      </c>
      <c r="Z74" s="212"/>
      <c r="AA74" s="210"/>
      <c r="AB74" s="212"/>
      <c r="AC74" s="181"/>
      <c r="AD74" s="212"/>
      <c r="AE74" s="217"/>
    </row>
    <row r="75" spans="1:31" ht="14.1" hidden="1" customHeight="1" outlineLevel="1" x14ac:dyDescent="0.3">
      <c r="A75" s="219">
        <v>19</v>
      </c>
      <c r="B75" s="220"/>
      <c r="C75" s="47" t="e">
        <f t="shared" si="19"/>
        <v>#N/A</v>
      </c>
      <c r="D75" s="53" t="e">
        <f t="shared" si="20"/>
        <v>#N/A</v>
      </c>
      <c r="E75" s="67" t="e">
        <f t="shared" si="21"/>
        <v>#N/A</v>
      </c>
      <c r="F75" s="271"/>
      <c r="G75" s="271"/>
      <c r="H75" s="271"/>
      <c r="I75" s="272"/>
      <c r="J75" s="272"/>
      <c r="K75" s="272"/>
      <c r="L75" s="275"/>
      <c r="M75" s="275"/>
      <c r="N75" s="275"/>
      <c r="O75" s="275"/>
      <c r="P75" s="275"/>
      <c r="Q75" s="275"/>
      <c r="R75" s="275"/>
      <c r="S75" s="275"/>
      <c r="T75" s="203">
        <f t="shared" si="22"/>
        <v>0</v>
      </c>
      <c r="U75" s="204"/>
      <c r="V75" s="205" t="e">
        <f t="shared" ca="1" si="17"/>
        <v>#N/A</v>
      </c>
      <c r="W75" s="206"/>
      <c r="X75" s="205">
        <f t="shared" ca="1" si="18"/>
        <v>0</v>
      </c>
      <c r="Z75" s="212"/>
      <c r="AA75" s="212"/>
      <c r="AB75" s="212"/>
      <c r="AC75" s="212"/>
      <c r="AD75" s="212"/>
      <c r="AE75" s="217"/>
    </row>
    <row r="76" spans="1:31" ht="14.1" hidden="1" customHeight="1" outlineLevel="1" x14ac:dyDescent="0.3">
      <c r="A76" s="219">
        <v>20</v>
      </c>
      <c r="B76" s="220"/>
      <c r="C76" s="47" t="e">
        <f t="shared" si="19"/>
        <v>#N/A</v>
      </c>
      <c r="D76" s="53" t="e">
        <f t="shared" si="20"/>
        <v>#N/A</v>
      </c>
      <c r="E76" s="67" t="e">
        <f t="shared" si="21"/>
        <v>#N/A</v>
      </c>
      <c r="F76" s="271"/>
      <c r="G76" s="271"/>
      <c r="H76" s="271"/>
      <c r="I76" s="272"/>
      <c r="J76" s="272"/>
      <c r="K76" s="272"/>
      <c r="L76" s="275"/>
      <c r="M76" s="275"/>
      <c r="N76" s="275"/>
      <c r="O76" s="275"/>
      <c r="P76" s="275"/>
      <c r="Q76" s="275"/>
      <c r="R76" s="275"/>
      <c r="S76" s="275"/>
      <c r="T76" s="203">
        <f t="shared" si="22"/>
        <v>0</v>
      </c>
      <c r="U76" s="204"/>
      <c r="V76" s="205" t="e">
        <f t="shared" ca="1" si="17"/>
        <v>#N/A</v>
      </c>
      <c r="W76" s="206"/>
      <c r="X76" s="205">
        <f t="shared" ca="1" si="18"/>
        <v>0</v>
      </c>
      <c r="Z76" s="212"/>
      <c r="AA76" s="212"/>
      <c r="AB76" s="212"/>
      <c r="AC76" s="212"/>
      <c r="AD76" s="212"/>
      <c r="AE76" s="217"/>
    </row>
    <row r="77" spans="1:31" ht="14.1" hidden="1" customHeight="1" outlineLevel="1" x14ac:dyDescent="0.3">
      <c r="A77" s="219">
        <v>21</v>
      </c>
      <c r="B77" s="220"/>
      <c r="C77" s="47" t="e">
        <f t="shared" si="19"/>
        <v>#N/A</v>
      </c>
      <c r="D77" s="53" t="e">
        <f t="shared" si="20"/>
        <v>#N/A</v>
      </c>
      <c r="E77" s="67" t="e">
        <f t="shared" si="21"/>
        <v>#N/A</v>
      </c>
      <c r="F77" s="271"/>
      <c r="G77" s="271"/>
      <c r="H77" s="271"/>
      <c r="I77" s="272"/>
      <c r="J77" s="272"/>
      <c r="K77" s="272"/>
      <c r="L77" s="275"/>
      <c r="M77" s="275"/>
      <c r="N77" s="275"/>
      <c r="O77" s="275"/>
      <c r="P77" s="275"/>
      <c r="Q77" s="275"/>
      <c r="R77" s="275"/>
      <c r="S77" s="275"/>
      <c r="T77" s="203">
        <f t="shared" si="22"/>
        <v>0</v>
      </c>
      <c r="U77" s="204"/>
      <c r="V77" s="205" t="e">
        <f t="shared" ca="1" si="17"/>
        <v>#N/A</v>
      </c>
      <c r="W77" s="206"/>
      <c r="X77" s="205">
        <f t="shared" ca="1" si="18"/>
        <v>0</v>
      </c>
      <c r="Z77" s="212"/>
      <c r="AA77" s="212"/>
      <c r="AB77" s="212"/>
      <c r="AC77" s="212"/>
      <c r="AD77" s="212"/>
      <c r="AE77" s="217"/>
    </row>
    <row r="78" spans="1:31" ht="14.1" hidden="1" customHeight="1" outlineLevel="1" x14ac:dyDescent="0.3">
      <c r="A78" s="219">
        <v>22</v>
      </c>
      <c r="B78" s="220"/>
      <c r="C78" s="47" t="e">
        <f t="shared" si="19"/>
        <v>#N/A</v>
      </c>
      <c r="D78" s="53" t="e">
        <f t="shared" si="20"/>
        <v>#N/A</v>
      </c>
      <c r="E78" s="67" t="e">
        <f t="shared" si="21"/>
        <v>#N/A</v>
      </c>
      <c r="F78" s="271"/>
      <c r="G78" s="271"/>
      <c r="H78" s="271"/>
      <c r="I78" s="272"/>
      <c r="J78" s="272"/>
      <c r="K78" s="272"/>
      <c r="L78" s="275"/>
      <c r="M78" s="275"/>
      <c r="N78" s="275"/>
      <c r="O78" s="275"/>
      <c r="P78" s="275"/>
      <c r="Q78" s="275"/>
      <c r="R78" s="275"/>
      <c r="S78" s="275"/>
      <c r="T78" s="203">
        <f t="shared" si="22"/>
        <v>0</v>
      </c>
      <c r="U78" s="204"/>
      <c r="V78" s="205" t="e">
        <f t="shared" ca="1" si="17"/>
        <v>#N/A</v>
      </c>
      <c r="W78" s="206"/>
      <c r="X78" s="205">
        <f t="shared" ca="1" si="18"/>
        <v>0</v>
      </c>
      <c r="Z78" s="212"/>
      <c r="AA78" s="212"/>
      <c r="AB78" s="212"/>
      <c r="AC78" s="212"/>
      <c r="AD78" s="212"/>
      <c r="AE78" s="217"/>
    </row>
    <row r="79" spans="1:31" ht="14.1" hidden="1" customHeight="1" outlineLevel="1" x14ac:dyDescent="0.3">
      <c r="A79" s="219">
        <v>23</v>
      </c>
      <c r="B79" s="220"/>
      <c r="C79" s="47" t="e">
        <f t="shared" si="19"/>
        <v>#N/A</v>
      </c>
      <c r="D79" s="53" t="e">
        <f t="shared" si="20"/>
        <v>#N/A</v>
      </c>
      <c r="E79" s="67" t="e">
        <f t="shared" si="21"/>
        <v>#N/A</v>
      </c>
      <c r="F79" s="271"/>
      <c r="G79" s="271"/>
      <c r="H79" s="271"/>
      <c r="I79" s="272"/>
      <c r="J79" s="272"/>
      <c r="K79" s="272"/>
      <c r="L79" s="275"/>
      <c r="M79" s="275"/>
      <c r="N79" s="275"/>
      <c r="O79" s="275"/>
      <c r="P79" s="275"/>
      <c r="Q79" s="275"/>
      <c r="R79" s="275"/>
      <c r="S79" s="275"/>
      <c r="T79" s="203">
        <f t="shared" si="22"/>
        <v>0</v>
      </c>
      <c r="U79" s="204"/>
      <c r="V79" s="205" t="e">
        <f t="shared" ca="1" si="17"/>
        <v>#N/A</v>
      </c>
      <c r="W79" s="206"/>
      <c r="X79" s="205">
        <f t="shared" ca="1" si="18"/>
        <v>0</v>
      </c>
      <c r="Z79" s="212"/>
      <c r="AA79" s="212"/>
      <c r="AB79" s="212"/>
      <c r="AC79" s="212"/>
      <c r="AD79" s="212"/>
      <c r="AE79" s="217"/>
    </row>
    <row r="80" spans="1:31" ht="14.1" hidden="1" customHeight="1" outlineLevel="1" x14ac:dyDescent="0.3">
      <c r="A80" s="219">
        <v>24</v>
      </c>
      <c r="B80" s="220"/>
      <c r="C80" s="47" t="e">
        <f t="shared" si="19"/>
        <v>#N/A</v>
      </c>
      <c r="D80" s="53" t="e">
        <f t="shared" si="20"/>
        <v>#N/A</v>
      </c>
      <c r="E80" s="67" t="e">
        <f t="shared" si="21"/>
        <v>#N/A</v>
      </c>
      <c r="F80" s="271"/>
      <c r="G80" s="271"/>
      <c r="H80" s="271"/>
      <c r="I80" s="272"/>
      <c r="J80" s="272"/>
      <c r="K80" s="272"/>
      <c r="L80" s="275"/>
      <c r="M80" s="275"/>
      <c r="N80" s="275"/>
      <c r="O80" s="275"/>
      <c r="P80" s="275"/>
      <c r="Q80" s="275"/>
      <c r="R80" s="275"/>
      <c r="S80" s="275"/>
      <c r="T80" s="203">
        <f t="shared" si="22"/>
        <v>0</v>
      </c>
      <c r="U80" s="204"/>
      <c r="V80" s="205" t="e">
        <f t="shared" ca="1" si="17"/>
        <v>#N/A</v>
      </c>
      <c r="W80" s="206"/>
      <c r="X80" s="205">
        <f t="shared" ca="1" si="18"/>
        <v>0</v>
      </c>
      <c r="Z80" s="212"/>
      <c r="AA80" s="212"/>
      <c r="AB80" s="212"/>
      <c r="AC80" s="212"/>
      <c r="AD80" s="212"/>
      <c r="AE80" s="217"/>
    </row>
    <row r="81" spans="1:37" ht="12.75" customHeight="1" collapsed="1" x14ac:dyDescent="0.3">
      <c r="A81" s="221"/>
      <c r="B81" s="221"/>
      <c r="C81" s="222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3"/>
      <c r="X81" s="212"/>
      <c r="Z81" s="212"/>
      <c r="AA81" s="212"/>
      <c r="AB81" s="212"/>
      <c r="AC81" s="212"/>
      <c r="AD81" s="212"/>
      <c r="AE81" s="217"/>
    </row>
    <row r="82" spans="1:37" s="217" customFormat="1" ht="6" customHeight="1" x14ac:dyDescent="0.3">
      <c r="A82" s="223"/>
      <c r="B82" s="223"/>
      <c r="C82" s="224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195"/>
      <c r="W82" s="212"/>
      <c r="X82" s="212"/>
      <c r="Y82" s="212"/>
      <c r="Z82" s="212"/>
      <c r="AA82" s="181"/>
      <c r="AB82" s="181"/>
      <c r="AC82" s="181"/>
      <c r="AD82" s="212"/>
      <c r="AF82" s="181"/>
      <c r="AG82" s="181"/>
      <c r="AH82" s="181"/>
      <c r="AI82" s="181"/>
      <c r="AJ82" s="181"/>
      <c r="AK82" s="181"/>
    </row>
    <row r="83" spans="1:37" x14ac:dyDescent="0.3">
      <c r="V83" s="195"/>
      <c r="W83" s="212"/>
      <c r="X83" s="212"/>
      <c r="Y83" s="212"/>
      <c r="Z83" s="212"/>
      <c r="AA83" s="181"/>
      <c r="AB83" s="210"/>
      <c r="AC83" s="181"/>
      <c r="AD83" s="212"/>
      <c r="AE83" s="217"/>
    </row>
    <row r="84" spans="1:37" x14ac:dyDescent="0.3">
      <c r="V84" s="195"/>
      <c r="W84" s="212"/>
      <c r="X84" s="212"/>
      <c r="Y84" s="212"/>
      <c r="Z84" s="212"/>
      <c r="AA84" s="181"/>
      <c r="AB84" s="210"/>
      <c r="AC84" s="181"/>
      <c r="AD84" s="212"/>
      <c r="AE84" s="217"/>
    </row>
    <row r="85" spans="1:37" x14ac:dyDescent="0.3">
      <c r="V85" s="195"/>
      <c r="W85" s="212"/>
      <c r="X85" s="212"/>
      <c r="Y85" s="212"/>
      <c r="Z85" s="212"/>
      <c r="AA85" s="181"/>
      <c r="AB85" s="210"/>
      <c r="AC85" s="181"/>
      <c r="AD85" s="212"/>
      <c r="AE85" s="217"/>
    </row>
    <row r="86" spans="1:37" x14ac:dyDescent="0.3">
      <c r="V86" s="195"/>
      <c r="W86" s="212"/>
      <c r="X86" s="212"/>
      <c r="Y86" s="212"/>
      <c r="Z86" s="212"/>
      <c r="AA86" s="181"/>
      <c r="AB86" s="210"/>
      <c r="AC86" s="181"/>
      <c r="AD86" s="212"/>
      <c r="AE86" s="217"/>
    </row>
    <row r="87" spans="1:37" x14ac:dyDescent="0.3">
      <c r="V87" s="195"/>
      <c r="W87" s="212"/>
      <c r="X87" s="212"/>
      <c r="Y87" s="212"/>
      <c r="Z87" s="212"/>
      <c r="AA87" s="181"/>
      <c r="AB87" s="210"/>
      <c r="AC87" s="181"/>
      <c r="AD87" s="212"/>
      <c r="AE87" s="217"/>
    </row>
    <row r="88" spans="1:37" x14ac:dyDescent="0.3">
      <c r="V88" s="195"/>
      <c r="W88" s="212"/>
      <c r="X88" s="212"/>
      <c r="Y88" s="212"/>
      <c r="Z88" s="212"/>
      <c r="AA88" s="181"/>
      <c r="AB88" s="210"/>
      <c r="AC88" s="181"/>
      <c r="AD88" s="212"/>
      <c r="AE88" s="217"/>
    </row>
    <row r="89" spans="1:37" x14ac:dyDescent="0.3">
      <c r="V89" s="195"/>
      <c r="W89" s="212"/>
      <c r="X89" s="212"/>
      <c r="Y89" s="212"/>
      <c r="Z89" s="212"/>
      <c r="AA89" s="181"/>
      <c r="AB89" s="210"/>
      <c r="AC89" s="181"/>
      <c r="AD89" s="212"/>
      <c r="AE89" s="217"/>
    </row>
    <row r="90" spans="1:37" x14ac:dyDescent="0.3">
      <c r="V90" s="195"/>
      <c r="W90" s="212"/>
      <c r="X90" s="212"/>
      <c r="Y90" s="212"/>
      <c r="Z90" s="212"/>
      <c r="AA90" s="181"/>
      <c r="AB90" s="210"/>
      <c r="AC90" s="181"/>
      <c r="AD90" s="212"/>
      <c r="AE90" s="217"/>
    </row>
    <row r="91" spans="1:37" x14ac:dyDescent="0.3">
      <c r="V91" s="195"/>
      <c r="W91" s="212"/>
      <c r="X91" s="212"/>
      <c r="Y91" s="212"/>
      <c r="Z91" s="212"/>
      <c r="AA91" s="181"/>
      <c r="AB91" s="210"/>
      <c r="AC91" s="181"/>
      <c r="AD91" s="212"/>
      <c r="AE91" s="217"/>
    </row>
    <row r="92" spans="1:37" x14ac:dyDescent="0.3">
      <c r="V92" s="195"/>
      <c r="W92" s="212"/>
      <c r="X92" s="212"/>
      <c r="Y92" s="212"/>
      <c r="Z92" s="212"/>
      <c r="AA92" s="181"/>
      <c r="AB92" s="210"/>
      <c r="AC92" s="181"/>
      <c r="AD92" s="212"/>
      <c r="AE92" s="217"/>
    </row>
    <row r="93" spans="1:37" x14ac:dyDescent="0.3">
      <c r="V93" s="195"/>
      <c r="W93" s="212"/>
      <c r="X93" s="212"/>
      <c r="Y93" s="212"/>
      <c r="Z93" s="212"/>
      <c r="AA93" s="181"/>
      <c r="AB93" s="210"/>
      <c r="AC93" s="181"/>
      <c r="AD93" s="212"/>
      <c r="AE93" s="217"/>
    </row>
    <row r="94" spans="1:37" x14ac:dyDescent="0.3">
      <c r="V94" s="195"/>
      <c r="W94" s="212"/>
      <c r="X94" s="212"/>
      <c r="Y94" s="212"/>
      <c r="Z94" s="212"/>
      <c r="AA94" s="181"/>
      <c r="AB94" s="210"/>
      <c r="AC94" s="181"/>
      <c r="AD94" s="212"/>
      <c r="AE94" s="217"/>
    </row>
    <row r="95" spans="1:37" x14ac:dyDescent="0.3">
      <c r="V95" s="195"/>
      <c r="W95" s="212"/>
      <c r="X95" s="212"/>
      <c r="Y95" s="212"/>
      <c r="Z95" s="212"/>
      <c r="AA95" s="181"/>
      <c r="AB95" s="210"/>
      <c r="AC95" s="181"/>
      <c r="AD95" s="212"/>
      <c r="AE95" s="217"/>
    </row>
    <row r="96" spans="1:37" x14ac:dyDescent="0.3">
      <c r="V96" s="195"/>
      <c r="W96" s="212"/>
      <c r="X96" s="212"/>
      <c r="Y96" s="212"/>
      <c r="Z96" s="212"/>
      <c r="AA96" s="181"/>
      <c r="AB96" s="210"/>
      <c r="AC96" s="181"/>
      <c r="AD96" s="212"/>
      <c r="AE96" s="217"/>
    </row>
    <row r="97" spans="22:31" x14ac:dyDescent="0.3">
      <c r="V97" s="195"/>
      <c r="W97" s="212"/>
      <c r="X97" s="212"/>
      <c r="Y97" s="212"/>
      <c r="Z97" s="212"/>
      <c r="AA97" s="181"/>
      <c r="AB97" s="210"/>
      <c r="AC97" s="181"/>
      <c r="AD97" s="212"/>
      <c r="AE97" s="217"/>
    </row>
    <row r="98" spans="22:31" x14ac:dyDescent="0.3">
      <c r="V98" s="195"/>
      <c r="W98" s="212"/>
      <c r="X98" s="212"/>
      <c r="Y98" s="212"/>
      <c r="Z98" s="212"/>
      <c r="AA98" s="181"/>
      <c r="AB98" s="210"/>
      <c r="AC98" s="181"/>
      <c r="AD98" s="212"/>
      <c r="AE98" s="217"/>
    </row>
    <row r="99" spans="22:31" x14ac:dyDescent="0.3">
      <c r="V99" s="195"/>
      <c r="W99" s="212"/>
      <c r="X99" s="212"/>
      <c r="Y99" s="212"/>
      <c r="Z99" s="212"/>
      <c r="AA99" s="181"/>
      <c r="AB99" s="210"/>
      <c r="AC99" s="181"/>
      <c r="AD99" s="212"/>
      <c r="AE99" s="217"/>
    </row>
    <row r="100" spans="22:31" x14ac:dyDescent="0.3">
      <c r="V100" s="195"/>
      <c r="W100" s="212"/>
      <c r="X100" s="212"/>
      <c r="Y100" s="212"/>
      <c r="Z100" s="212"/>
      <c r="AA100" s="181"/>
      <c r="AB100" s="210"/>
      <c r="AC100" s="181"/>
      <c r="AD100" s="212"/>
      <c r="AE100" s="217"/>
    </row>
    <row r="101" spans="22:31" x14ac:dyDescent="0.3">
      <c r="V101" s="195"/>
      <c r="W101" s="212"/>
      <c r="X101" s="212"/>
      <c r="Y101" s="212"/>
      <c r="Z101" s="212"/>
      <c r="AA101" s="181"/>
      <c r="AB101" s="210"/>
      <c r="AC101" s="181"/>
      <c r="AD101" s="212"/>
      <c r="AE101" s="217"/>
    </row>
    <row r="102" spans="22:31" x14ac:dyDescent="0.3">
      <c r="V102" s="195"/>
      <c r="W102" s="212"/>
      <c r="X102" s="212"/>
      <c r="Y102" s="212"/>
      <c r="Z102" s="212"/>
      <c r="AA102" s="181"/>
      <c r="AB102" s="210"/>
      <c r="AC102" s="181"/>
      <c r="AD102" s="212"/>
      <c r="AE102" s="217"/>
    </row>
    <row r="103" spans="22:31" x14ac:dyDescent="0.3">
      <c r="V103" s="195"/>
      <c r="W103" s="212"/>
      <c r="X103" s="212"/>
      <c r="Y103" s="212"/>
      <c r="Z103" s="212"/>
      <c r="AA103" s="181"/>
      <c r="AB103" s="210"/>
      <c r="AC103" s="181"/>
      <c r="AD103" s="212"/>
      <c r="AE103" s="217"/>
    </row>
    <row r="104" spans="22:31" x14ac:dyDescent="0.3">
      <c r="V104" s="195"/>
      <c r="W104" s="212"/>
      <c r="X104" s="212"/>
      <c r="Y104" s="212"/>
      <c r="Z104" s="212"/>
      <c r="AA104" s="181"/>
      <c r="AB104" s="210"/>
      <c r="AC104" s="181"/>
      <c r="AD104" s="212"/>
      <c r="AE104" s="217"/>
    </row>
    <row r="105" spans="22:31" x14ac:dyDescent="0.3">
      <c r="V105" s="195"/>
      <c r="W105" s="212"/>
      <c r="X105" s="212"/>
      <c r="Y105" s="212"/>
      <c r="Z105" s="212"/>
      <c r="AA105" s="181"/>
      <c r="AB105" s="210"/>
      <c r="AC105" s="181"/>
      <c r="AD105" s="212"/>
      <c r="AE105" s="217"/>
    </row>
    <row r="106" spans="22:31" x14ac:dyDescent="0.3">
      <c r="V106" s="195"/>
      <c r="W106" s="212"/>
      <c r="X106" s="212"/>
      <c r="Y106" s="212"/>
      <c r="Z106" s="212"/>
      <c r="AA106" s="181"/>
      <c r="AB106" s="210"/>
      <c r="AC106" s="181"/>
      <c r="AD106" s="212"/>
      <c r="AE106" s="217"/>
    </row>
    <row r="107" spans="22:31" x14ac:dyDescent="0.3">
      <c r="V107" s="195"/>
      <c r="W107" s="212"/>
      <c r="X107" s="212"/>
      <c r="Y107" s="212"/>
      <c r="Z107" s="212"/>
      <c r="AA107" s="181"/>
      <c r="AB107" s="210"/>
      <c r="AC107" s="181"/>
      <c r="AD107" s="212"/>
      <c r="AE107" s="217"/>
    </row>
    <row r="108" spans="22:31" x14ac:dyDescent="0.3">
      <c r="V108" s="195"/>
      <c r="W108" s="212"/>
      <c r="X108" s="212"/>
      <c r="Y108" s="212"/>
      <c r="Z108" s="212"/>
      <c r="AA108" s="181"/>
      <c r="AB108" s="210"/>
      <c r="AC108" s="181"/>
      <c r="AD108" s="212"/>
      <c r="AE108" s="217"/>
    </row>
    <row r="109" spans="22:31" x14ac:dyDescent="0.3">
      <c r="V109" s="195"/>
      <c r="W109" s="212"/>
      <c r="X109" s="212"/>
      <c r="Y109" s="212"/>
      <c r="Z109" s="212"/>
      <c r="AA109" s="181"/>
      <c r="AB109" s="210"/>
      <c r="AC109" s="181"/>
      <c r="AD109" s="212"/>
      <c r="AE109" s="217"/>
    </row>
    <row r="110" spans="22:31" x14ac:dyDescent="0.3">
      <c r="V110" s="195"/>
      <c r="W110" s="212"/>
      <c r="X110" s="212"/>
      <c r="Y110" s="212"/>
      <c r="Z110" s="212"/>
      <c r="AA110" s="181"/>
      <c r="AB110" s="210"/>
      <c r="AC110" s="181"/>
      <c r="AD110" s="212"/>
      <c r="AE110" s="217"/>
    </row>
    <row r="111" spans="22:31" x14ac:dyDescent="0.3">
      <c r="V111" s="195"/>
      <c r="W111" s="212"/>
      <c r="X111" s="212"/>
      <c r="Y111" s="212"/>
      <c r="Z111" s="212"/>
      <c r="AA111" s="181"/>
      <c r="AB111" s="210"/>
      <c r="AC111" s="181"/>
      <c r="AD111" s="212"/>
      <c r="AE111" s="217"/>
    </row>
    <row r="112" spans="22:31" x14ac:dyDescent="0.3">
      <c r="V112" s="195"/>
      <c r="W112" s="212"/>
      <c r="X112" s="212"/>
      <c r="Y112" s="212"/>
      <c r="Z112" s="212"/>
      <c r="AA112" s="181"/>
      <c r="AB112" s="210"/>
      <c r="AC112" s="181"/>
      <c r="AD112" s="212"/>
      <c r="AE112" s="217"/>
    </row>
    <row r="113" spans="1:37" x14ac:dyDescent="0.3">
      <c r="V113" s="195"/>
      <c r="W113" s="212"/>
      <c r="X113" s="212"/>
      <c r="Y113" s="212"/>
      <c r="Z113" s="212"/>
      <c r="AA113" s="181"/>
      <c r="AB113" s="210"/>
      <c r="AC113" s="181"/>
      <c r="AD113" s="212"/>
      <c r="AE113" s="217"/>
    </row>
    <row r="114" spans="1:37" x14ac:dyDescent="0.3">
      <c r="V114" s="195"/>
      <c r="W114" s="212"/>
      <c r="X114" s="212"/>
      <c r="Y114" s="212"/>
      <c r="Z114" s="212"/>
      <c r="AA114" s="181"/>
      <c r="AB114" s="210"/>
      <c r="AC114" s="181"/>
      <c r="AD114" s="212"/>
      <c r="AE114" s="217"/>
    </row>
    <row r="115" spans="1:37" x14ac:dyDescent="0.3">
      <c r="V115" s="195"/>
      <c r="W115" s="212"/>
      <c r="X115" s="212"/>
      <c r="Y115" s="212"/>
      <c r="Z115" s="212"/>
      <c r="AA115" s="181"/>
      <c r="AB115" s="210"/>
      <c r="AC115" s="181"/>
      <c r="AD115" s="212"/>
      <c r="AE115" s="217"/>
    </row>
    <row r="116" spans="1:37" x14ac:dyDescent="0.3">
      <c r="V116" s="195"/>
      <c r="W116" s="212"/>
      <c r="X116" s="212"/>
      <c r="Y116" s="212"/>
      <c r="Z116" s="212"/>
      <c r="AA116" s="181"/>
      <c r="AB116" s="210"/>
      <c r="AC116" s="181"/>
      <c r="AD116" s="212"/>
      <c r="AE116" s="217"/>
    </row>
    <row r="117" spans="1:37" x14ac:dyDescent="0.3">
      <c r="V117" s="195"/>
      <c r="W117" s="212"/>
      <c r="X117" s="212"/>
      <c r="Y117" s="212"/>
      <c r="Z117" s="212"/>
      <c r="AA117" s="181"/>
      <c r="AB117" s="210"/>
      <c r="AC117" s="181"/>
      <c r="AD117" s="212"/>
      <c r="AE117" s="217"/>
    </row>
    <row r="118" spans="1:37" x14ac:dyDescent="0.3">
      <c r="V118" s="195"/>
      <c r="W118" s="212"/>
      <c r="X118" s="212"/>
      <c r="Y118" s="212"/>
      <c r="Z118" s="212"/>
      <c r="AA118" s="181"/>
      <c r="AB118" s="210"/>
      <c r="AC118" s="181"/>
      <c r="AD118" s="212"/>
      <c r="AE118" s="217"/>
    </row>
    <row r="119" spans="1:37" ht="3.75" customHeight="1" x14ac:dyDescent="0.3">
      <c r="A119" s="225"/>
      <c r="B119" s="225"/>
      <c r="C119" s="225"/>
      <c r="D119" s="225"/>
      <c r="E119" s="225"/>
      <c r="F119" s="225"/>
      <c r="G119" s="225"/>
      <c r="H119" s="225"/>
      <c r="I119" s="225"/>
      <c r="J119" s="225"/>
      <c r="K119" s="225"/>
      <c r="L119" s="225"/>
      <c r="M119" s="225"/>
      <c r="N119" s="225"/>
      <c r="O119" s="225"/>
      <c r="P119" s="225"/>
      <c r="Q119" s="225"/>
      <c r="R119" s="225"/>
      <c r="S119" s="270"/>
      <c r="T119" s="225"/>
      <c r="U119" s="226"/>
      <c r="V119" s="226"/>
      <c r="W119" s="195"/>
      <c r="X119" s="212"/>
      <c r="Y119" s="212"/>
      <c r="Z119" s="212"/>
      <c r="AA119" s="212"/>
      <c r="AB119" s="181"/>
      <c r="AC119" s="181"/>
      <c r="AD119" s="181"/>
      <c r="AE119" s="212"/>
      <c r="AF119" s="217"/>
    </row>
    <row r="120" spans="1:37" x14ac:dyDescent="0.3">
      <c r="A120" s="227"/>
      <c r="B120" s="227"/>
      <c r="C120" s="228"/>
      <c r="D120" s="227"/>
      <c r="E120" s="227"/>
      <c r="F120" s="227"/>
      <c r="G120" s="227"/>
      <c r="H120" s="227"/>
      <c r="I120" s="227"/>
      <c r="J120" s="227"/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9"/>
      <c r="V120" s="229"/>
      <c r="W120" s="195"/>
      <c r="X120" s="212"/>
      <c r="Y120" s="212"/>
      <c r="Z120" s="212"/>
      <c r="AA120" s="212"/>
      <c r="AB120" s="181"/>
      <c r="AC120" s="181"/>
      <c r="AD120" s="181"/>
      <c r="AE120" s="212"/>
      <c r="AF120" s="217"/>
    </row>
    <row r="121" spans="1:37" x14ac:dyDescent="0.3">
      <c r="A121" s="227"/>
      <c r="B121" s="227"/>
      <c r="C121" s="228"/>
      <c r="D121" s="227"/>
      <c r="E121" s="227"/>
      <c r="F121" s="227"/>
      <c r="G121" s="227"/>
      <c r="H121" s="227"/>
      <c r="I121" s="227"/>
      <c r="J121" s="227"/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9"/>
      <c r="V121" s="229"/>
      <c r="W121" s="195"/>
      <c r="X121" s="212"/>
      <c r="Y121" s="212"/>
      <c r="Z121" s="212"/>
      <c r="AA121" s="212"/>
      <c r="AB121" s="181"/>
      <c r="AC121" s="181"/>
      <c r="AD121" s="181"/>
      <c r="AE121" s="212"/>
      <c r="AF121" s="217"/>
    </row>
    <row r="122" spans="1:37" s="78" customFormat="1" x14ac:dyDescent="0.3">
      <c r="A122" s="227"/>
      <c r="B122" s="227"/>
      <c r="C122" s="228"/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9"/>
      <c r="V122" s="229"/>
      <c r="W122" s="195"/>
      <c r="X122" s="212"/>
      <c r="Y122" s="212"/>
      <c r="Z122" s="212"/>
      <c r="AA122" s="212"/>
      <c r="AB122" s="181"/>
      <c r="AC122" s="210"/>
      <c r="AD122" s="181"/>
      <c r="AE122" s="212"/>
      <c r="AF122" s="217"/>
      <c r="AG122" s="181"/>
      <c r="AH122" s="181"/>
      <c r="AI122" s="181"/>
      <c r="AJ122" s="181"/>
      <c r="AK122" s="181"/>
    </row>
    <row r="123" spans="1:37" s="78" customFormat="1" ht="21.6" customHeight="1" x14ac:dyDescent="0.3">
      <c r="A123" s="227"/>
      <c r="B123" s="227"/>
      <c r="C123" s="228"/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9"/>
      <c r="V123" s="229"/>
      <c r="W123" s="195"/>
      <c r="X123" s="212"/>
      <c r="Y123" s="212"/>
      <c r="Z123" s="212"/>
      <c r="AA123" s="212"/>
      <c r="AB123" s="181"/>
      <c r="AC123" s="210"/>
      <c r="AD123" s="181"/>
      <c r="AE123" s="212"/>
      <c r="AF123" s="217"/>
      <c r="AG123" s="181"/>
      <c r="AH123" s="181"/>
      <c r="AI123" s="181"/>
      <c r="AJ123" s="181"/>
      <c r="AK123" s="181"/>
    </row>
    <row r="124" spans="1:37" s="78" customFormat="1" x14ac:dyDescent="0.3">
      <c r="A124" s="227"/>
      <c r="B124" s="227"/>
      <c r="C124" s="228"/>
      <c r="D124" s="227"/>
      <c r="E124" s="227"/>
      <c r="F124" s="227"/>
      <c r="G124" s="227"/>
      <c r="H124" s="227"/>
      <c r="I124" s="227"/>
      <c r="J124" s="227"/>
      <c r="K124" s="227"/>
      <c r="L124" s="227"/>
      <c r="M124" s="227"/>
      <c r="N124" s="227"/>
      <c r="O124" s="227"/>
      <c r="P124" s="227"/>
      <c r="Q124" s="227"/>
      <c r="R124" s="227"/>
      <c r="S124" s="227"/>
      <c r="T124" s="227"/>
      <c r="U124" s="229"/>
      <c r="V124" s="229"/>
      <c r="W124" s="195"/>
      <c r="X124" s="212"/>
      <c r="Y124" s="212"/>
      <c r="Z124" s="212"/>
      <c r="AA124" s="212"/>
      <c r="AB124" s="181"/>
      <c r="AC124" s="210"/>
      <c r="AD124" s="181"/>
      <c r="AE124" s="212"/>
      <c r="AF124" s="217"/>
      <c r="AG124" s="181"/>
      <c r="AH124" s="181"/>
      <c r="AI124" s="181"/>
      <c r="AJ124" s="181"/>
      <c r="AK124" s="181"/>
    </row>
    <row r="125" spans="1:37" s="78" customFormat="1" x14ac:dyDescent="0.3">
      <c r="A125" s="227"/>
      <c r="B125" s="227"/>
      <c r="C125" s="228"/>
      <c r="D125" s="227"/>
      <c r="E125" s="227"/>
      <c r="F125" s="227"/>
      <c r="G125" s="227"/>
      <c r="H125" s="227"/>
      <c r="I125" s="227"/>
      <c r="J125" s="227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9"/>
      <c r="V125" s="229"/>
      <c r="W125" s="195"/>
      <c r="X125" s="212"/>
      <c r="Y125" s="212"/>
      <c r="Z125" s="212"/>
      <c r="AA125" s="212"/>
      <c r="AB125" s="181"/>
      <c r="AC125" s="210"/>
      <c r="AD125" s="181"/>
      <c r="AE125" s="212"/>
      <c r="AF125" s="217"/>
      <c r="AG125" s="181"/>
      <c r="AH125" s="181"/>
      <c r="AI125" s="181"/>
      <c r="AJ125" s="181"/>
      <c r="AK125" s="181"/>
    </row>
    <row r="126" spans="1:37" s="78" customFormat="1" ht="3.75" customHeight="1" x14ac:dyDescent="0.3">
      <c r="A126" s="225"/>
      <c r="B126" s="225"/>
      <c r="C126" s="225"/>
      <c r="D126" s="225"/>
      <c r="E126" s="225"/>
      <c r="F126" s="225"/>
      <c r="G126" s="225"/>
      <c r="H126" s="225"/>
      <c r="I126" s="225"/>
      <c r="J126" s="225"/>
      <c r="K126" s="225"/>
      <c r="L126" s="225"/>
      <c r="M126" s="225"/>
      <c r="N126" s="225"/>
      <c r="O126" s="225"/>
      <c r="P126" s="225"/>
      <c r="Q126" s="225"/>
      <c r="R126" s="225"/>
      <c r="S126" s="270"/>
      <c r="T126" s="225"/>
      <c r="U126" s="226"/>
      <c r="V126" s="226"/>
      <c r="W126" s="195"/>
      <c r="X126" s="212"/>
      <c r="Y126" s="212"/>
      <c r="Z126" s="212"/>
      <c r="AA126" s="212"/>
      <c r="AB126" s="181"/>
      <c r="AC126" s="230"/>
      <c r="AD126" s="181"/>
      <c r="AE126" s="212"/>
      <c r="AF126" s="217"/>
      <c r="AG126" s="181"/>
      <c r="AH126" s="181"/>
      <c r="AI126" s="181"/>
      <c r="AJ126" s="181"/>
      <c r="AK126" s="181"/>
    </row>
    <row r="127" spans="1:37" s="78" customFormat="1" ht="9.75" customHeight="1" x14ac:dyDescent="0.3">
      <c r="A127" s="350" t="s">
        <v>40</v>
      </c>
      <c r="B127" s="350"/>
      <c r="C127" s="350"/>
      <c r="D127" s="350"/>
      <c r="E127" s="350"/>
      <c r="F127" s="350"/>
      <c r="G127" s="350"/>
      <c r="H127" s="350"/>
      <c r="I127" s="350"/>
      <c r="J127" s="350"/>
      <c r="K127" s="350"/>
      <c r="L127" s="350"/>
      <c r="M127" s="350"/>
      <c r="N127" s="350"/>
      <c r="O127" s="350"/>
      <c r="P127" s="350"/>
      <c r="Q127" s="350"/>
      <c r="R127" s="350"/>
      <c r="S127" s="350"/>
      <c r="T127" s="350"/>
      <c r="U127" s="231"/>
      <c r="V127" s="226"/>
      <c r="W127" s="195"/>
      <c r="X127" s="212"/>
      <c r="Y127" s="212"/>
      <c r="Z127" s="212"/>
      <c r="AA127" s="212"/>
      <c r="AB127" s="181"/>
      <c r="AC127" s="214"/>
      <c r="AD127" s="181"/>
      <c r="AE127" s="212"/>
      <c r="AF127" s="217"/>
      <c r="AG127" s="181"/>
      <c r="AH127" s="181"/>
      <c r="AI127" s="181"/>
      <c r="AJ127" s="181"/>
      <c r="AK127" s="181"/>
    </row>
    <row r="128" spans="1:37" x14ac:dyDescent="0.3">
      <c r="V128" s="195"/>
      <c r="W128" s="212"/>
      <c r="X128" s="212"/>
      <c r="Y128" s="212"/>
      <c r="Z128" s="212"/>
      <c r="AA128" s="212"/>
      <c r="AB128" s="212"/>
      <c r="AC128" s="212"/>
      <c r="AD128" s="212"/>
      <c r="AE128" s="217"/>
    </row>
    <row r="129" spans="22:31" x14ac:dyDescent="0.3">
      <c r="V129" s="195"/>
      <c r="W129" s="212"/>
      <c r="X129" s="212"/>
      <c r="Y129" s="212"/>
      <c r="Z129" s="212"/>
      <c r="AA129" s="212"/>
      <c r="AB129" s="212"/>
      <c r="AC129" s="212"/>
      <c r="AD129" s="212"/>
      <c r="AE129" s="217"/>
    </row>
    <row r="130" spans="22:31" x14ac:dyDescent="0.3">
      <c r="V130" s="195"/>
      <c r="W130" s="212"/>
      <c r="X130" s="212"/>
      <c r="Y130" s="212"/>
      <c r="Z130" s="212"/>
      <c r="AA130" s="212"/>
      <c r="AB130" s="212"/>
      <c r="AC130" s="212"/>
      <c r="AD130" s="212"/>
      <c r="AE130" s="217"/>
    </row>
  </sheetData>
  <sortState ref="B57:T62">
    <sortCondition descending="1" ref="T57"/>
  </sortState>
  <mergeCells count="45">
    <mergeCell ref="S10:S11"/>
    <mergeCell ref="A1:T1"/>
    <mergeCell ref="A2:T2"/>
    <mergeCell ref="D3:O3"/>
    <mergeCell ref="A5:T5"/>
    <mergeCell ref="F7:H7"/>
    <mergeCell ref="I7:K7"/>
    <mergeCell ref="L7:N7"/>
    <mergeCell ref="O7:R7"/>
    <mergeCell ref="F8:H8"/>
    <mergeCell ref="I8:K8"/>
    <mergeCell ref="L8:N8"/>
    <mergeCell ref="O8:R8"/>
    <mergeCell ref="A10:E10"/>
    <mergeCell ref="F10:F11"/>
    <mergeCell ref="G10:G11"/>
    <mergeCell ref="I55:I56"/>
    <mergeCell ref="R10:R11"/>
    <mergeCell ref="B11:E11"/>
    <mergeCell ref="N10:N11"/>
    <mergeCell ref="O10:O11"/>
    <mergeCell ref="K10:K11"/>
    <mergeCell ref="L10:L11"/>
    <mergeCell ref="M10:M11"/>
    <mergeCell ref="H10:H11"/>
    <mergeCell ref="I10:I11"/>
    <mergeCell ref="J10:J11"/>
    <mergeCell ref="P10:P11"/>
    <mergeCell ref="Q10:Q11"/>
    <mergeCell ref="A127:T127"/>
    <mergeCell ref="P55:P56"/>
    <mergeCell ref="Q55:Q56"/>
    <mergeCell ref="R55:R56"/>
    <mergeCell ref="B56:E56"/>
    <mergeCell ref="K55:K56"/>
    <mergeCell ref="L55:L56"/>
    <mergeCell ref="M55:M56"/>
    <mergeCell ref="N55:N56"/>
    <mergeCell ref="O55:O56"/>
    <mergeCell ref="J55:J56"/>
    <mergeCell ref="S55:S56"/>
    <mergeCell ref="A55:E55"/>
    <mergeCell ref="F55:F56"/>
    <mergeCell ref="G55:G56"/>
    <mergeCell ref="H55:H56"/>
  </mergeCells>
  <conditionalFormatting sqref="X12:X52 AB12:AB26">
    <cfRule type="cellIs" dxfId="1" priority="2" operator="equal">
      <formula>0</formula>
    </cfRule>
  </conditionalFormatting>
  <conditionalFormatting sqref="X57:X80">
    <cfRule type="cellIs" dxfId="0" priority="1" operator="equal">
      <formula>0</formula>
    </cfRule>
  </conditionalFormatting>
  <pageMargins left="0.39370078740157483" right="0.23622047244094491" top="0.31496062992125984" bottom="0.31496062992125984" header="0.23622047244094491" footer="0.19685039370078741"/>
  <pageSetup paperSize="9" scale="7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B1:AL51"/>
  <sheetViews>
    <sheetView zoomScale="60" zoomScaleNormal="60" workbookViewId="0">
      <selection activeCell="AE4" sqref="AE4"/>
    </sheetView>
  </sheetViews>
  <sheetFormatPr defaultColWidth="8.88671875" defaultRowHeight="13.8" outlineLevelCol="1" x14ac:dyDescent="0.3"/>
  <cols>
    <col min="1" max="1" width="2.5546875" style="18" customWidth="1"/>
    <col min="2" max="2" width="4" style="3" customWidth="1"/>
    <col min="3" max="3" width="9.44140625" style="36" customWidth="1"/>
    <col min="4" max="4" width="72" style="3" customWidth="1"/>
    <col min="5" max="5" width="1" style="3" customWidth="1"/>
    <col min="6" max="6" width="6.33203125" style="3" customWidth="1"/>
    <col min="7" max="7" width="6.88671875" style="3" hidden="1" customWidth="1" outlineLevel="1"/>
    <col min="8" max="8" width="9.6640625" style="3" customWidth="1" collapsed="1"/>
    <col min="9" max="9" width="10.6640625" style="3" customWidth="1"/>
    <col min="10" max="10" width="5.88671875" style="3" hidden="1" customWidth="1" outlineLevel="1"/>
    <col min="11" max="11" width="0.88671875" style="3" customWidth="1" collapsed="1"/>
    <col min="12" max="12" width="6.33203125" style="3" customWidth="1"/>
    <col min="13" max="13" width="6.88671875" style="3" hidden="1" customWidth="1" outlineLevel="1"/>
    <col min="14" max="14" width="9.6640625" style="3" customWidth="1" collapsed="1"/>
    <col min="15" max="15" width="10.6640625" style="3" customWidth="1"/>
    <col min="16" max="16" width="5.88671875" style="3" hidden="1" customWidth="1" outlineLevel="1"/>
    <col min="17" max="17" width="0.88671875" style="3" customWidth="1" collapsed="1"/>
    <col min="18" max="18" width="6.33203125" style="3" customWidth="1"/>
    <col min="19" max="19" width="6.88671875" style="3" hidden="1" customWidth="1" outlineLevel="1"/>
    <col min="20" max="20" width="9.6640625" style="3" customWidth="1" collapsed="1"/>
    <col min="21" max="21" width="10.6640625" style="3" customWidth="1"/>
    <col min="22" max="22" width="5.88671875" style="3" hidden="1" customWidth="1" outlineLevel="1"/>
    <col min="23" max="23" width="0.88671875" style="3" customWidth="1" collapsed="1"/>
    <col min="24" max="24" width="6.33203125" style="3" customWidth="1"/>
    <col min="25" max="25" width="6.88671875" style="3" hidden="1" customWidth="1" outlineLevel="1"/>
    <col min="26" max="26" width="9.6640625" style="3" customWidth="1" collapsed="1"/>
    <col min="27" max="27" width="10.6640625" style="3" customWidth="1"/>
    <col min="28" max="28" width="5.88671875" style="3" hidden="1" customWidth="1" outlineLevel="1"/>
    <col min="29" max="29" width="0.88671875" style="3" customWidth="1" collapsed="1"/>
    <col min="30" max="30" width="9" style="3" customWidth="1"/>
    <col min="31" max="31" width="9.33203125" style="3" customWidth="1"/>
    <col min="32" max="16384" width="8.88671875" style="18"/>
  </cols>
  <sheetData>
    <row r="1" spans="2:38" ht="33.75" customHeight="1" x14ac:dyDescent="0.25">
      <c r="B1" s="336" t="str">
        <f>CTRL!B7</f>
        <v>R E G I O N E M   O R L I C K A   L A N Š K R O U N   2 0 1 5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</row>
    <row r="2" spans="2:38" ht="15.6" x14ac:dyDescent="0.25">
      <c r="B2" s="337" t="str">
        <f>CTRL!B8</f>
        <v>29. ročník mezinárodního cyklistického závodu juniorů / 29th edition of international cycling race of juniors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</row>
    <row r="3" spans="2:38" ht="18" x14ac:dyDescent="0.35">
      <c r="B3" s="30" t="str">
        <f ca="1">MID(CELL("filename",B1),FIND("]",CELL("filename",B1))+1,256)</f>
        <v>GC1</v>
      </c>
      <c r="C3" s="3"/>
      <c r="D3" s="338" t="str">
        <f ca="1">INDIRECT("POET"&amp;(RIGHT(B3,1)))</f>
        <v>po 1. etapě / after 1st Stage</v>
      </c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18"/>
      <c r="AE3" s="59" t="str">
        <f>"Com.no.: 10/" &amp; CTRL!B27</f>
        <v>Com.no.: 10/33</v>
      </c>
    </row>
    <row r="4" spans="2:38" x14ac:dyDescent="0.3">
      <c r="B4" s="120" t="str">
        <f ca="1">"Datum / Date: "&amp;TEXT(INDIRECT("DATUM"&amp;(RIGHT(B3,1))),"dd.mm.rrrr")</f>
        <v>Datum / Date: 07.08.2015</v>
      </c>
      <c r="C4" s="3"/>
      <c r="D4" s="36"/>
      <c r="AD4" s="18"/>
      <c r="AE4" s="62" t="str">
        <f>"Místo konání / Place: "&amp;CTRL!C17&amp;""</f>
        <v>Místo konání / Place: Lanškroun (CZE)</v>
      </c>
    </row>
    <row r="5" spans="2:38" ht="21" x14ac:dyDescent="0.25">
      <c r="B5" s="339" t="str">
        <f>VLIST</f>
        <v>Výsledková listina / Result</v>
      </c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</row>
    <row r="6" spans="2:38" ht="9" customHeight="1" x14ac:dyDescent="0.3">
      <c r="C6" s="3"/>
      <c r="D6" s="36"/>
      <c r="AD6" s="18"/>
      <c r="AE6" s="18"/>
    </row>
    <row r="7" spans="2:38" ht="13.2" x14ac:dyDescent="0.25">
      <c r="B7" s="37" t="s">
        <v>0</v>
      </c>
      <c r="C7" s="37" t="s">
        <v>12</v>
      </c>
      <c r="D7" s="37" t="s">
        <v>4</v>
      </c>
      <c r="E7" s="232"/>
      <c r="F7" s="376" t="s">
        <v>105</v>
      </c>
      <c r="G7" s="376"/>
      <c r="H7" s="376"/>
      <c r="I7" s="376"/>
      <c r="J7" s="37" t="s">
        <v>22</v>
      </c>
      <c r="K7" s="232"/>
      <c r="L7" s="376" t="s">
        <v>23</v>
      </c>
      <c r="M7" s="376"/>
      <c r="N7" s="376"/>
      <c r="O7" s="376"/>
      <c r="P7" s="37" t="s">
        <v>23</v>
      </c>
      <c r="Q7" s="232"/>
      <c r="R7" s="376" t="s">
        <v>24</v>
      </c>
      <c r="S7" s="376"/>
      <c r="T7" s="376"/>
      <c r="U7" s="376"/>
      <c r="V7" s="37" t="s">
        <v>24</v>
      </c>
      <c r="W7" s="232"/>
      <c r="X7" s="376" t="s">
        <v>25</v>
      </c>
      <c r="Y7" s="376"/>
      <c r="Z7" s="376"/>
      <c r="AA7" s="376"/>
      <c r="AB7" s="37" t="s">
        <v>25</v>
      </c>
      <c r="AC7" s="232"/>
      <c r="AD7" s="37" t="s">
        <v>26</v>
      </c>
      <c r="AE7" s="37" t="s">
        <v>27</v>
      </c>
      <c r="AG7" s="285" t="s">
        <v>4</v>
      </c>
      <c r="AH7" s="376" t="s">
        <v>105</v>
      </c>
      <c r="AI7" s="376"/>
      <c r="AJ7" s="376"/>
      <c r="AK7" s="376"/>
      <c r="AL7" s="285" t="s">
        <v>22</v>
      </c>
    </row>
    <row r="8" spans="2:38" ht="13.2" x14ac:dyDescent="0.25">
      <c r="B8" s="38" t="s">
        <v>6</v>
      </c>
      <c r="C8" s="38" t="s">
        <v>11</v>
      </c>
      <c r="D8" s="38" t="s">
        <v>14</v>
      </c>
      <c r="E8" s="233"/>
      <c r="F8" s="38" t="s">
        <v>106</v>
      </c>
      <c r="G8" s="38" t="s">
        <v>120</v>
      </c>
      <c r="H8" s="38" t="s">
        <v>43</v>
      </c>
      <c r="I8" s="38" t="s">
        <v>107</v>
      </c>
      <c r="J8" s="38" t="s">
        <v>108</v>
      </c>
      <c r="K8" s="233"/>
      <c r="L8" s="38" t="s">
        <v>106</v>
      </c>
      <c r="M8" s="38" t="s">
        <v>120</v>
      </c>
      <c r="N8" s="38" t="s">
        <v>43</v>
      </c>
      <c r="O8" s="38" t="s">
        <v>107</v>
      </c>
      <c r="P8" s="38" t="s">
        <v>108</v>
      </c>
      <c r="Q8" s="233"/>
      <c r="R8" s="38" t="s">
        <v>106</v>
      </c>
      <c r="S8" s="38" t="s">
        <v>120</v>
      </c>
      <c r="T8" s="38" t="s">
        <v>43</v>
      </c>
      <c r="U8" s="38" t="s">
        <v>107</v>
      </c>
      <c r="V8" s="38" t="s">
        <v>108</v>
      </c>
      <c r="W8" s="233"/>
      <c r="X8" s="38" t="s">
        <v>106</v>
      </c>
      <c r="Y8" s="38" t="s">
        <v>120</v>
      </c>
      <c r="Z8" s="38" t="s">
        <v>43</v>
      </c>
      <c r="AA8" s="38" t="s">
        <v>107</v>
      </c>
      <c r="AB8" s="38" t="s">
        <v>108</v>
      </c>
      <c r="AC8" s="233"/>
      <c r="AD8" s="38" t="s">
        <v>28</v>
      </c>
      <c r="AE8" s="38" t="s">
        <v>29</v>
      </c>
      <c r="AG8" s="38" t="s">
        <v>14</v>
      </c>
      <c r="AH8" s="38" t="s">
        <v>106</v>
      </c>
      <c r="AI8" s="38" t="s">
        <v>120</v>
      </c>
      <c r="AJ8" s="38" t="s">
        <v>43</v>
      </c>
      <c r="AK8" s="38" t="s">
        <v>107</v>
      </c>
      <c r="AL8" s="38" t="s">
        <v>108</v>
      </c>
    </row>
    <row r="9" spans="2:38" ht="8.25" customHeight="1" thickBot="1" x14ac:dyDescent="0.35">
      <c r="C9" s="3"/>
      <c r="D9" s="36"/>
      <c r="AD9" s="18"/>
      <c r="AE9" s="18"/>
    </row>
    <row r="10" spans="2:38" ht="15.6" x14ac:dyDescent="0.25">
      <c r="B10" s="377" t="s">
        <v>102</v>
      </c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</row>
    <row r="11" spans="2:38" x14ac:dyDescent="0.25"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</row>
    <row r="12" spans="2:38" ht="22.5" customHeight="1" x14ac:dyDescent="0.25">
      <c r="B12" s="45">
        <v>1</v>
      </c>
      <c r="C12" s="234" t="s">
        <v>210</v>
      </c>
      <c r="D12" s="286" t="str">
        <f t="shared" ref="D12:D29" si="0">VLOOKUP(C12,ODDIL,2,0)</f>
        <v>RSC COTTBUS</v>
      </c>
      <c r="E12" s="235"/>
      <c r="F12" s="236" t="e">
        <f t="shared" ref="F12:F29" si="1">VLOOKUP($C12,$AG:$AL,2,0)</f>
        <v>#N/A</v>
      </c>
      <c r="G12" s="236" t="e">
        <f t="shared" ref="G12:G29" si="2">VLOOKUP($C12,$AG:$AL,3,0)</f>
        <v>#N/A</v>
      </c>
      <c r="H12" s="236" t="e">
        <f t="shared" ref="H12:H29" si="3">VLOOKUP($C12,$AG:$AL,4,0)</f>
        <v>#N/A</v>
      </c>
      <c r="I12" s="236" t="e">
        <f t="shared" ref="I12:I29" si="4">VLOOKUP($C12,$AG:$AL,5,0)</f>
        <v>#N/A</v>
      </c>
      <c r="J12" s="236"/>
      <c r="K12" s="240"/>
      <c r="L12" s="236"/>
      <c r="M12" s="236"/>
      <c r="N12" s="237"/>
      <c r="O12" s="238"/>
      <c r="P12" s="239"/>
      <c r="Q12" s="235"/>
      <c r="R12" s="236"/>
      <c r="S12" s="236"/>
      <c r="T12" s="237"/>
      <c r="U12" s="238"/>
      <c r="V12" s="239"/>
      <c r="W12" s="235"/>
      <c r="X12" s="236"/>
      <c r="Y12" s="236"/>
      <c r="Z12" s="237"/>
      <c r="AA12" s="238"/>
      <c r="AB12" s="239"/>
      <c r="AC12" s="241"/>
      <c r="AD12" s="242" t="e">
        <f t="shared" ref="AD12:AD29" si="5">H12+N12+T12+Z12</f>
        <v>#N/A</v>
      </c>
      <c r="AE12" s="237" t="e">
        <f t="shared" ref="AE12:AE29" si="6">AD12-$AD$12</f>
        <v>#N/A</v>
      </c>
      <c r="AG12" s="287"/>
      <c r="AH12" s="288">
        <v>1</v>
      </c>
      <c r="AI12" s="288"/>
      <c r="AJ12" s="289"/>
      <c r="AK12" s="290"/>
      <c r="AL12" s="291"/>
    </row>
    <row r="13" spans="2:38" ht="22.5" customHeight="1" x14ac:dyDescent="0.25">
      <c r="B13" s="45">
        <v>2</v>
      </c>
      <c r="C13" s="234" t="s">
        <v>571</v>
      </c>
      <c r="D13" s="286" t="str">
        <f t="shared" si="0"/>
        <v xml:space="preserve">MIX3 - ČEZ CYKLO TEAM TÁBOR, CK PŘÍBRAM - FANY GASTRO, AC SPARTA PRAHA, TJ ZČE CYKLISTIKA PLZEŇ </v>
      </c>
      <c r="E13" s="235"/>
      <c r="F13" s="236" t="e">
        <f t="shared" si="1"/>
        <v>#N/A</v>
      </c>
      <c r="G13" s="236" t="e">
        <f t="shared" si="2"/>
        <v>#N/A</v>
      </c>
      <c r="H13" s="236" t="e">
        <f t="shared" si="3"/>
        <v>#N/A</v>
      </c>
      <c r="I13" s="236" t="e">
        <f t="shared" si="4"/>
        <v>#N/A</v>
      </c>
      <c r="J13" s="239"/>
      <c r="K13" s="240"/>
      <c r="L13" s="236"/>
      <c r="M13" s="236"/>
      <c r="N13" s="237"/>
      <c r="O13" s="238"/>
      <c r="P13" s="239"/>
      <c r="Q13" s="235"/>
      <c r="R13" s="236"/>
      <c r="S13" s="236"/>
      <c r="T13" s="237"/>
      <c r="U13" s="238"/>
      <c r="V13" s="239"/>
      <c r="W13" s="235"/>
      <c r="X13" s="236"/>
      <c r="Y13" s="236"/>
      <c r="Z13" s="237"/>
      <c r="AA13" s="238"/>
      <c r="AB13" s="239"/>
      <c r="AC13" s="241"/>
      <c r="AD13" s="242" t="e">
        <f t="shared" si="5"/>
        <v>#N/A</v>
      </c>
      <c r="AE13" s="237" t="e">
        <f t="shared" si="6"/>
        <v>#N/A</v>
      </c>
      <c r="AG13" s="287"/>
      <c r="AH13" s="288">
        <v>2</v>
      </c>
      <c r="AI13" s="288"/>
      <c r="AJ13" s="289"/>
      <c r="AK13" s="290"/>
      <c r="AL13" s="291"/>
    </row>
    <row r="14" spans="2:38" ht="22.5" customHeight="1" x14ac:dyDescent="0.25">
      <c r="B14" s="45">
        <v>3</v>
      </c>
      <c r="C14" s="234" t="s">
        <v>38</v>
      </c>
      <c r="D14" s="286" t="str">
        <f t="shared" si="0"/>
        <v>MIX6 - TJ FAVORIT BRNO, CYKLISTICKÝ SPOLOK ŽILINA</v>
      </c>
      <c r="E14" s="235"/>
      <c r="F14" s="236" t="e">
        <f t="shared" si="1"/>
        <v>#N/A</v>
      </c>
      <c r="G14" s="236" t="e">
        <f t="shared" si="2"/>
        <v>#N/A</v>
      </c>
      <c r="H14" s="236" t="e">
        <f t="shared" si="3"/>
        <v>#N/A</v>
      </c>
      <c r="I14" s="236" t="e">
        <f t="shared" si="4"/>
        <v>#N/A</v>
      </c>
      <c r="J14" s="239"/>
      <c r="K14" s="240"/>
      <c r="L14" s="236"/>
      <c r="M14" s="236"/>
      <c r="N14" s="237"/>
      <c r="O14" s="238"/>
      <c r="P14" s="239"/>
      <c r="Q14" s="235"/>
      <c r="R14" s="236"/>
      <c r="S14" s="236"/>
      <c r="T14" s="237"/>
      <c r="U14" s="238"/>
      <c r="V14" s="239"/>
      <c r="W14" s="235"/>
      <c r="X14" s="236"/>
      <c r="Y14" s="236"/>
      <c r="Z14" s="237"/>
      <c r="AA14" s="238"/>
      <c r="AB14" s="239"/>
      <c r="AC14" s="241"/>
      <c r="AD14" s="242" t="e">
        <f t="shared" si="5"/>
        <v>#N/A</v>
      </c>
      <c r="AE14" s="237" t="e">
        <f t="shared" si="6"/>
        <v>#N/A</v>
      </c>
      <c r="AG14" s="287"/>
      <c r="AH14" s="288">
        <v>3</v>
      </c>
      <c r="AI14" s="288"/>
      <c r="AJ14" s="289"/>
      <c r="AK14" s="290"/>
      <c r="AL14" s="291"/>
    </row>
    <row r="15" spans="2:38" ht="22.5" customHeight="1" x14ac:dyDescent="0.25">
      <c r="B15" s="45">
        <v>4</v>
      </c>
      <c r="C15" s="234" t="s">
        <v>133</v>
      </c>
      <c r="D15" s="286" t="str">
        <f t="shared" si="0"/>
        <v>GERMAN NATIONAL TEAM</v>
      </c>
      <c r="E15" s="235"/>
      <c r="F15" s="236" t="e">
        <f t="shared" si="1"/>
        <v>#N/A</v>
      </c>
      <c r="G15" s="236" t="e">
        <f t="shared" si="2"/>
        <v>#N/A</v>
      </c>
      <c r="H15" s="236" t="e">
        <f t="shared" si="3"/>
        <v>#N/A</v>
      </c>
      <c r="I15" s="236" t="e">
        <f t="shared" si="4"/>
        <v>#N/A</v>
      </c>
      <c r="J15" s="239"/>
      <c r="K15" s="240"/>
      <c r="L15" s="236"/>
      <c r="M15" s="236"/>
      <c r="N15" s="237"/>
      <c r="O15" s="238"/>
      <c r="P15" s="239"/>
      <c r="Q15" s="235"/>
      <c r="R15" s="236"/>
      <c r="S15" s="236"/>
      <c r="T15" s="237"/>
      <c r="U15" s="238"/>
      <c r="V15" s="239"/>
      <c r="W15" s="235"/>
      <c r="X15" s="236"/>
      <c r="Y15" s="236"/>
      <c r="Z15" s="237"/>
      <c r="AA15" s="238"/>
      <c r="AB15" s="239"/>
      <c r="AC15" s="241"/>
      <c r="AD15" s="242" t="e">
        <f t="shared" si="5"/>
        <v>#N/A</v>
      </c>
      <c r="AE15" s="237" t="e">
        <f t="shared" si="6"/>
        <v>#N/A</v>
      </c>
      <c r="AG15" s="287"/>
      <c r="AH15" s="288">
        <v>4</v>
      </c>
      <c r="AI15" s="288"/>
      <c r="AJ15" s="289"/>
      <c r="AK15" s="290"/>
      <c r="AL15" s="291"/>
    </row>
    <row r="16" spans="2:38" ht="22.5" customHeight="1" x14ac:dyDescent="0.25">
      <c r="B16" s="45">
        <v>5</v>
      </c>
      <c r="C16" s="234" t="s">
        <v>300</v>
      </c>
      <c r="D16" s="286" t="str">
        <f t="shared" si="0"/>
        <v xml:space="preserve">MIX4 - KC KOOPERATIVA SG, YOUNG TELENET FIDEA CYCLING, REMERX - MERIDA TEAM KOLÍN </v>
      </c>
      <c r="E16" s="235"/>
      <c r="F16" s="236" t="e">
        <f t="shared" si="1"/>
        <v>#N/A</v>
      </c>
      <c r="G16" s="236" t="e">
        <f t="shared" si="2"/>
        <v>#N/A</v>
      </c>
      <c r="H16" s="236" t="e">
        <f t="shared" si="3"/>
        <v>#N/A</v>
      </c>
      <c r="I16" s="236" t="e">
        <f t="shared" si="4"/>
        <v>#N/A</v>
      </c>
      <c r="J16" s="239"/>
      <c r="K16" s="240"/>
      <c r="L16" s="236"/>
      <c r="M16" s="236"/>
      <c r="N16" s="237"/>
      <c r="O16" s="238"/>
      <c r="P16" s="239"/>
      <c r="Q16" s="235"/>
      <c r="R16" s="236"/>
      <c r="S16" s="236"/>
      <c r="T16" s="237"/>
      <c r="U16" s="238"/>
      <c r="V16" s="239"/>
      <c r="W16" s="235"/>
      <c r="X16" s="236"/>
      <c r="Y16" s="236"/>
      <c r="Z16" s="237"/>
      <c r="AA16" s="238"/>
      <c r="AB16" s="239"/>
      <c r="AC16" s="241"/>
      <c r="AD16" s="242" t="e">
        <f t="shared" si="5"/>
        <v>#N/A</v>
      </c>
      <c r="AE16" s="237" t="e">
        <f t="shared" si="6"/>
        <v>#N/A</v>
      </c>
      <c r="AG16" s="287"/>
      <c r="AH16" s="288">
        <v>5</v>
      </c>
      <c r="AI16" s="288"/>
      <c r="AJ16" s="289"/>
      <c r="AK16" s="290"/>
      <c r="AL16" s="291"/>
    </row>
    <row r="17" spans="2:38" ht="22.5" customHeight="1" x14ac:dyDescent="0.25">
      <c r="B17" s="45">
        <v>6</v>
      </c>
      <c r="C17" s="234" t="s">
        <v>555</v>
      </c>
      <c r="D17" s="286" t="str">
        <f t="shared" si="0"/>
        <v>MIX2 - TJ KOVO PRAHA, VELO - CLUB CIRKL, SUPERIOR BRENTJENS MTB TEAM, SP KOLO, WZW TIELTSE RC,  VRV TEAM</v>
      </c>
      <c r="E17" s="235"/>
      <c r="F17" s="236" t="e">
        <f t="shared" si="1"/>
        <v>#N/A</v>
      </c>
      <c r="G17" s="236" t="e">
        <f t="shared" si="2"/>
        <v>#N/A</v>
      </c>
      <c r="H17" s="236" t="e">
        <f t="shared" si="3"/>
        <v>#N/A</v>
      </c>
      <c r="I17" s="236" t="e">
        <f t="shared" si="4"/>
        <v>#N/A</v>
      </c>
      <c r="J17" s="239"/>
      <c r="K17" s="240"/>
      <c r="L17" s="236"/>
      <c r="M17" s="236"/>
      <c r="N17" s="237"/>
      <c r="O17" s="238"/>
      <c r="P17" s="239"/>
      <c r="Q17" s="235"/>
      <c r="R17" s="236"/>
      <c r="S17" s="236"/>
      <c r="T17" s="237"/>
      <c r="U17" s="238"/>
      <c r="V17" s="239"/>
      <c r="W17" s="235"/>
      <c r="X17" s="236"/>
      <c r="Y17" s="236"/>
      <c r="Z17" s="237"/>
      <c r="AA17" s="238"/>
      <c r="AB17" s="239"/>
      <c r="AC17" s="241"/>
      <c r="AD17" s="242" t="e">
        <f t="shared" si="5"/>
        <v>#N/A</v>
      </c>
      <c r="AE17" s="237" t="e">
        <f t="shared" si="6"/>
        <v>#N/A</v>
      </c>
      <c r="AG17" s="287"/>
      <c r="AH17" s="288">
        <v>6</v>
      </c>
      <c r="AI17" s="288"/>
      <c r="AJ17" s="289"/>
      <c r="AK17" s="290"/>
      <c r="AL17" s="291"/>
    </row>
    <row r="18" spans="2:38" ht="22.5" customHeight="1" x14ac:dyDescent="0.25">
      <c r="B18" s="45">
        <v>7</v>
      </c>
      <c r="C18" s="234" t="s">
        <v>280</v>
      </c>
      <c r="D18" s="286" t="str">
        <f t="shared" si="0"/>
        <v>LRV STEIERMARK</v>
      </c>
      <c r="E18" s="235"/>
      <c r="F18" s="236" t="e">
        <f t="shared" si="1"/>
        <v>#N/A</v>
      </c>
      <c r="G18" s="236" t="e">
        <f t="shared" si="2"/>
        <v>#N/A</v>
      </c>
      <c r="H18" s="236" t="e">
        <f t="shared" si="3"/>
        <v>#N/A</v>
      </c>
      <c r="I18" s="236" t="e">
        <f t="shared" si="4"/>
        <v>#N/A</v>
      </c>
      <c r="J18" s="239"/>
      <c r="K18" s="240"/>
      <c r="L18" s="236"/>
      <c r="M18" s="236"/>
      <c r="N18" s="237"/>
      <c r="O18" s="238"/>
      <c r="P18" s="239"/>
      <c r="Q18" s="235"/>
      <c r="R18" s="236"/>
      <c r="S18" s="236"/>
      <c r="T18" s="237"/>
      <c r="U18" s="238"/>
      <c r="V18" s="239"/>
      <c r="W18" s="235"/>
      <c r="X18" s="236"/>
      <c r="Y18" s="236"/>
      <c r="Z18" s="237"/>
      <c r="AA18" s="238"/>
      <c r="AB18" s="239"/>
      <c r="AC18" s="241"/>
      <c r="AD18" s="242" t="e">
        <f t="shared" si="5"/>
        <v>#N/A</v>
      </c>
      <c r="AE18" s="237" t="e">
        <f t="shared" si="6"/>
        <v>#N/A</v>
      </c>
      <c r="AG18" s="287"/>
      <c r="AH18" s="288">
        <v>7</v>
      </c>
      <c r="AI18" s="288"/>
      <c r="AJ18" s="289"/>
      <c r="AK18" s="290"/>
      <c r="AL18" s="291"/>
    </row>
    <row r="19" spans="2:38" ht="22.5" customHeight="1" x14ac:dyDescent="0.25">
      <c r="B19" s="45">
        <v>8</v>
      </c>
      <c r="C19" s="234" t="s">
        <v>245</v>
      </c>
      <c r="D19" s="286" t="str">
        <f t="shared" si="0"/>
        <v xml:space="preserve">MAPEI MERIDA KAŇKOVSKÝ </v>
      </c>
      <c r="E19" s="235"/>
      <c r="F19" s="236" t="e">
        <f t="shared" si="1"/>
        <v>#N/A</v>
      </c>
      <c r="G19" s="236" t="e">
        <f t="shared" si="2"/>
        <v>#N/A</v>
      </c>
      <c r="H19" s="236" t="e">
        <f t="shared" si="3"/>
        <v>#N/A</v>
      </c>
      <c r="I19" s="236" t="e">
        <f t="shared" si="4"/>
        <v>#N/A</v>
      </c>
      <c r="J19" s="239"/>
      <c r="K19" s="240"/>
      <c r="L19" s="236"/>
      <c r="M19" s="236"/>
      <c r="N19" s="237"/>
      <c r="O19" s="238"/>
      <c r="P19" s="239"/>
      <c r="Q19" s="235"/>
      <c r="R19" s="236"/>
      <c r="S19" s="236"/>
      <c r="T19" s="237"/>
      <c r="U19" s="238"/>
      <c r="V19" s="239"/>
      <c r="W19" s="235"/>
      <c r="X19" s="236"/>
      <c r="Y19" s="236"/>
      <c r="Z19" s="237"/>
      <c r="AA19" s="238"/>
      <c r="AB19" s="239"/>
      <c r="AC19" s="241"/>
      <c r="AD19" s="242" t="e">
        <f t="shared" si="5"/>
        <v>#N/A</v>
      </c>
      <c r="AE19" s="237" t="e">
        <f t="shared" si="6"/>
        <v>#N/A</v>
      </c>
      <c r="AG19" s="287"/>
      <c r="AH19" s="288">
        <v>8</v>
      </c>
      <c r="AI19" s="288"/>
      <c r="AJ19" s="289"/>
      <c r="AK19" s="290"/>
      <c r="AL19" s="291"/>
    </row>
    <row r="20" spans="2:38" ht="22.5" customHeight="1" x14ac:dyDescent="0.25">
      <c r="B20" s="45">
        <v>9</v>
      </c>
      <c r="C20" s="234" t="s">
        <v>243</v>
      </c>
      <c r="D20" s="286" t="str">
        <f t="shared" si="0"/>
        <v>RG BERLIN</v>
      </c>
      <c r="E20" s="235"/>
      <c r="F20" s="236" t="e">
        <f t="shared" si="1"/>
        <v>#N/A</v>
      </c>
      <c r="G20" s="236" t="e">
        <f t="shared" si="2"/>
        <v>#N/A</v>
      </c>
      <c r="H20" s="236" t="e">
        <f t="shared" si="3"/>
        <v>#N/A</v>
      </c>
      <c r="I20" s="236" t="e">
        <f t="shared" si="4"/>
        <v>#N/A</v>
      </c>
      <c r="J20" s="239"/>
      <c r="K20" s="240"/>
      <c r="L20" s="236"/>
      <c r="M20" s="236"/>
      <c r="N20" s="237"/>
      <c r="O20" s="238"/>
      <c r="P20" s="239"/>
      <c r="Q20" s="235"/>
      <c r="R20" s="236"/>
      <c r="S20" s="236"/>
      <c r="T20" s="237"/>
      <c r="U20" s="238"/>
      <c r="V20" s="239"/>
      <c r="W20" s="235"/>
      <c r="X20" s="236"/>
      <c r="Y20" s="236"/>
      <c r="Z20" s="237"/>
      <c r="AA20" s="238"/>
      <c r="AB20" s="239"/>
      <c r="AC20" s="241"/>
      <c r="AD20" s="242" t="e">
        <f t="shared" si="5"/>
        <v>#N/A</v>
      </c>
      <c r="AE20" s="237" t="e">
        <f t="shared" si="6"/>
        <v>#N/A</v>
      </c>
      <c r="AG20" s="287"/>
      <c r="AH20" s="288">
        <v>9</v>
      </c>
      <c r="AI20" s="288"/>
      <c r="AJ20" s="289"/>
      <c r="AK20" s="290"/>
      <c r="AL20" s="291"/>
    </row>
    <row r="21" spans="2:38" ht="22.5" customHeight="1" x14ac:dyDescent="0.25">
      <c r="B21" s="45">
        <v>10</v>
      </c>
      <c r="C21" s="234" t="s">
        <v>218</v>
      </c>
      <c r="D21" s="286" t="str">
        <f t="shared" si="0"/>
        <v>MIX7 - RLM WIEN, MLKS WIELUŃ, DOBRE SKLEPY ROWEROWE AUTHOR PSZCZYNA</v>
      </c>
      <c r="E21" s="235"/>
      <c r="F21" s="236" t="e">
        <f t="shared" si="1"/>
        <v>#N/A</v>
      </c>
      <c r="G21" s="236" t="e">
        <f t="shared" si="2"/>
        <v>#N/A</v>
      </c>
      <c r="H21" s="236" t="e">
        <f t="shared" si="3"/>
        <v>#N/A</v>
      </c>
      <c r="I21" s="236" t="e">
        <f t="shared" si="4"/>
        <v>#N/A</v>
      </c>
      <c r="J21" s="239"/>
      <c r="K21" s="240"/>
      <c r="L21" s="236"/>
      <c r="M21" s="236"/>
      <c r="N21" s="237"/>
      <c r="O21" s="238"/>
      <c r="P21" s="239"/>
      <c r="Q21" s="235"/>
      <c r="R21" s="236"/>
      <c r="S21" s="236"/>
      <c r="T21" s="237"/>
      <c r="U21" s="238"/>
      <c r="V21" s="239"/>
      <c r="W21" s="235"/>
      <c r="X21" s="236"/>
      <c r="Y21" s="236"/>
      <c r="Z21" s="237"/>
      <c r="AA21" s="238"/>
      <c r="AB21" s="239"/>
      <c r="AC21" s="241"/>
      <c r="AD21" s="242" t="e">
        <f t="shared" si="5"/>
        <v>#N/A</v>
      </c>
      <c r="AE21" s="237" t="e">
        <f t="shared" si="6"/>
        <v>#N/A</v>
      </c>
      <c r="AG21" s="287"/>
      <c r="AH21" s="288">
        <v>10</v>
      </c>
      <c r="AI21" s="288"/>
      <c r="AJ21" s="289"/>
      <c r="AK21" s="290"/>
      <c r="AL21" s="291"/>
    </row>
    <row r="22" spans="2:38" ht="22.5" customHeight="1" x14ac:dyDescent="0.25">
      <c r="B22" s="45">
        <v>11</v>
      </c>
      <c r="C22" s="234" t="s">
        <v>232</v>
      </c>
      <c r="D22" s="286" t="str">
        <f t="shared" si="0"/>
        <v>JUNIOREN SCHWALBE TEAM SACHSEN</v>
      </c>
      <c r="E22" s="235"/>
      <c r="F22" s="236" t="e">
        <f t="shared" si="1"/>
        <v>#N/A</v>
      </c>
      <c r="G22" s="236" t="e">
        <f t="shared" si="2"/>
        <v>#N/A</v>
      </c>
      <c r="H22" s="236" t="e">
        <f t="shared" si="3"/>
        <v>#N/A</v>
      </c>
      <c r="I22" s="236" t="e">
        <f t="shared" si="4"/>
        <v>#N/A</v>
      </c>
      <c r="J22" s="239"/>
      <c r="K22" s="240"/>
      <c r="L22" s="236"/>
      <c r="M22" s="236"/>
      <c r="N22" s="237"/>
      <c r="O22" s="238"/>
      <c r="P22" s="239"/>
      <c r="Q22" s="235"/>
      <c r="R22" s="236"/>
      <c r="S22" s="236"/>
      <c r="T22" s="237"/>
      <c r="U22" s="238"/>
      <c r="V22" s="239"/>
      <c r="W22" s="235"/>
      <c r="X22" s="236"/>
      <c r="Y22" s="236"/>
      <c r="Z22" s="237"/>
      <c r="AA22" s="238"/>
      <c r="AB22" s="239"/>
      <c r="AC22" s="241"/>
      <c r="AD22" s="242" t="e">
        <f t="shared" si="5"/>
        <v>#N/A</v>
      </c>
      <c r="AE22" s="237" t="e">
        <f t="shared" si="6"/>
        <v>#N/A</v>
      </c>
      <c r="AG22" s="287"/>
      <c r="AH22" s="288">
        <v>11</v>
      </c>
      <c r="AI22" s="288"/>
      <c r="AJ22" s="289"/>
      <c r="AK22" s="290"/>
      <c r="AL22" s="291"/>
    </row>
    <row r="23" spans="2:38" ht="22.5" customHeight="1" x14ac:dyDescent="0.25">
      <c r="B23" s="45">
        <v>12</v>
      </c>
      <c r="C23" s="234" t="s">
        <v>214</v>
      </c>
      <c r="D23" s="286" t="str">
        <f t="shared" si="0"/>
        <v xml:space="preserve">MIX8 - SKP DUHA FORT LANŠKROUN, WHIRLPOOL AUTHOR JUN, CK MTB MARATON HLINSKO, TJ UNIČOV, CK KARPATY </v>
      </c>
      <c r="E23" s="235"/>
      <c r="F23" s="236" t="e">
        <f t="shared" si="1"/>
        <v>#N/A</v>
      </c>
      <c r="G23" s="236" t="e">
        <f t="shared" si="2"/>
        <v>#N/A</v>
      </c>
      <c r="H23" s="236" t="e">
        <f t="shared" si="3"/>
        <v>#N/A</v>
      </c>
      <c r="I23" s="236" t="e">
        <f t="shared" si="4"/>
        <v>#N/A</v>
      </c>
      <c r="J23" s="239"/>
      <c r="K23" s="240"/>
      <c r="L23" s="236"/>
      <c r="M23" s="236"/>
      <c r="N23" s="237"/>
      <c r="O23" s="238"/>
      <c r="P23" s="239"/>
      <c r="Q23" s="235"/>
      <c r="R23" s="236"/>
      <c r="S23" s="236"/>
      <c r="T23" s="237"/>
      <c r="U23" s="238"/>
      <c r="V23" s="239"/>
      <c r="W23" s="235"/>
      <c r="X23" s="236"/>
      <c r="Y23" s="236"/>
      <c r="Z23" s="237"/>
      <c r="AA23" s="238"/>
      <c r="AB23" s="239"/>
      <c r="AC23" s="241"/>
      <c r="AD23" s="242" t="e">
        <f t="shared" si="5"/>
        <v>#N/A</v>
      </c>
      <c r="AE23" s="237" t="e">
        <f t="shared" si="6"/>
        <v>#N/A</v>
      </c>
      <c r="AG23" s="287"/>
      <c r="AH23" s="288">
        <v>12</v>
      </c>
      <c r="AI23" s="288"/>
      <c r="AJ23" s="289"/>
      <c r="AK23" s="290"/>
      <c r="AL23" s="291"/>
    </row>
    <row r="24" spans="2:38" ht="22.5" customHeight="1" x14ac:dyDescent="0.25">
      <c r="B24" s="45">
        <v>13</v>
      </c>
      <c r="C24" s="234" t="s">
        <v>576</v>
      </c>
      <c r="D24" s="286" t="str">
        <f t="shared" si="0"/>
        <v>MIX5 - TJ SLAVIA SG TRENČÍN, DSR AUTHOR GÓRNIK WAŁBRZYCH</v>
      </c>
      <c r="E24" s="235"/>
      <c r="F24" s="236" t="e">
        <f t="shared" si="1"/>
        <v>#N/A</v>
      </c>
      <c r="G24" s="236" t="e">
        <f t="shared" si="2"/>
        <v>#N/A</v>
      </c>
      <c r="H24" s="236" t="e">
        <f t="shared" si="3"/>
        <v>#N/A</v>
      </c>
      <c r="I24" s="236" t="e">
        <f t="shared" si="4"/>
        <v>#N/A</v>
      </c>
      <c r="J24" s="239"/>
      <c r="K24" s="240"/>
      <c r="L24" s="236"/>
      <c r="M24" s="236"/>
      <c r="N24" s="237"/>
      <c r="O24" s="238"/>
      <c r="P24" s="239"/>
      <c r="Q24" s="235"/>
      <c r="R24" s="236"/>
      <c r="S24" s="236"/>
      <c r="T24" s="237"/>
      <c r="U24" s="238"/>
      <c r="V24" s="239"/>
      <c r="W24" s="235"/>
      <c r="X24" s="236"/>
      <c r="Y24" s="236"/>
      <c r="Z24" s="237"/>
      <c r="AA24" s="238"/>
      <c r="AB24" s="239"/>
      <c r="AC24" s="241"/>
      <c r="AD24" s="242" t="e">
        <f t="shared" si="5"/>
        <v>#N/A</v>
      </c>
      <c r="AE24" s="237" t="e">
        <f t="shared" si="6"/>
        <v>#N/A</v>
      </c>
      <c r="AG24" s="287"/>
      <c r="AH24" s="288">
        <v>13</v>
      </c>
      <c r="AI24" s="288"/>
      <c r="AJ24" s="289"/>
      <c r="AK24" s="290"/>
      <c r="AL24" s="291"/>
    </row>
    <row r="25" spans="2:38" ht="22.5" customHeight="1" x14ac:dyDescent="0.25">
      <c r="B25" s="45">
        <v>14</v>
      </c>
      <c r="C25" s="234" t="s">
        <v>274</v>
      </c>
      <c r="D25" s="286" t="str">
        <f t="shared" si="0"/>
        <v>MIX1 - CK FESO PETŘVALD, ACK STARÁ VES NAD ONDŘEJNICÍ, GRUPA KOLARSKA GLIWICE, CK OLYMPIK TRNAVA</v>
      </c>
      <c r="E25" s="235"/>
      <c r="F25" s="236" t="e">
        <f t="shared" si="1"/>
        <v>#N/A</v>
      </c>
      <c r="G25" s="236" t="e">
        <f t="shared" si="2"/>
        <v>#N/A</v>
      </c>
      <c r="H25" s="236" t="e">
        <f t="shared" si="3"/>
        <v>#N/A</v>
      </c>
      <c r="I25" s="236" t="e">
        <f t="shared" si="4"/>
        <v>#N/A</v>
      </c>
      <c r="J25" s="239"/>
      <c r="K25" s="240"/>
      <c r="L25" s="236"/>
      <c r="M25" s="236"/>
      <c r="N25" s="237"/>
      <c r="O25" s="238"/>
      <c r="P25" s="239"/>
      <c r="Q25" s="235"/>
      <c r="R25" s="236"/>
      <c r="S25" s="236"/>
      <c r="T25" s="237"/>
      <c r="U25" s="238"/>
      <c r="V25" s="239"/>
      <c r="W25" s="235"/>
      <c r="X25" s="236"/>
      <c r="Y25" s="236"/>
      <c r="Z25" s="237"/>
      <c r="AA25" s="238"/>
      <c r="AB25" s="239"/>
      <c r="AC25" s="241"/>
      <c r="AD25" s="242" t="e">
        <f t="shared" si="5"/>
        <v>#N/A</v>
      </c>
      <c r="AE25" s="237" t="e">
        <f t="shared" si="6"/>
        <v>#N/A</v>
      </c>
      <c r="AG25" s="287"/>
      <c r="AH25" s="288">
        <v>14</v>
      </c>
      <c r="AI25" s="288"/>
      <c r="AJ25" s="289"/>
      <c r="AK25" s="290"/>
      <c r="AL25" s="291"/>
    </row>
    <row r="26" spans="2:38" ht="22.5" customHeight="1" x14ac:dyDescent="0.25">
      <c r="B26" s="45">
        <v>15</v>
      </c>
      <c r="C26" s="234" t="s">
        <v>222</v>
      </c>
      <c r="D26" s="286" t="str">
        <f t="shared" si="0"/>
        <v xml:space="preserve">SKC TUFO PROSTĚJOV </v>
      </c>
      <c r="E26" s="235"/>
      <c r="F26" s="236" t="e">
        <f t="shared" si="1"/>
        <v>#N/A</v>
      </c>
      <c r="G26" s="236" t="e">
        <f t="shared" si="2"/>
        <v>#N/A</v>
      </c>
      <c r="H26" s="236" t="e">
        <f t="shared" si="3"/>
        <v>#N/A</v>
      </c>
      <c r="I26" s="236" t="e">
        <f t="shared" si="4"/>
        <v>#N/A</v>
      </c>
      <c r="J26" s="239"/>
      <c r="K26" s="240"/>
      <c r="L26" s="236"/>
      <c r="M26" s="236"/>
      <c r="N26" s="237"/>
      <c r="O26" s="238"/>
      <c r="P26" s="239"/>
      <c r="Q26" s="235"/>
      <c r="R26" s="236"/>
      <c r="S26" s="236"/>
      <c r="T26" s="237"/>
      <c r="U26" s="238"/>
      <c r="V26" s="239"/>
      <c r="W26" s="235"/>
      <c r="X26" s="236"/>
      <c r="Y26" s="236"/>
      <c r="Z26" s="237"/>
      <c r="AA26" s="238"/>
      <c r="AB26" s="239"/>
      <c r="AC26" s="241"/>
      <c r="AD26" s="242" t="e">
        <f t="shared" si="5"/>
        <v>#N/A</v>
      </c>
      <c r="AE26" s="237" t="e">
        <f t="shared" si="6"/>
        <v>#N/A</v>
      </c>
      <c r="AG26" s="287"/>
      <c r="AH26" s="288">
        <v>15</v>
      </c>
      <c r="AI26" s="288"/>
      <c r="AJ26" s="289"/>
      <c r="AK26" s="290"/>
      <c r="AL26" s="291"/>
    </row>
    <row r="27" spans="2:38" ht="22.5" customHeight="1" x14ac:dyDescent="0.25">
      <c r="B27" s="45">
        <v>16</v>
      </c>
      <c r="C27" s="234" t="s">
        <v>39</v>
      </c>
      <c r="D27" s="286" t="str">
        <f t="shared" si="0"/>
        <v>SLOVAK CYCLING FEDERATION</v>
      </c>
      <c r="E27" s="235"/>
      <c r="F27" s="236" t="e">
        <f t="shared" si="1"/>
        <v>#N/A</v>
      </c>
      <c r="G27" s="236" t="e">
        <f t="shared" si="2"/>
        <v>#N/A</v>
      </c>
      <c r="H27" s="236" t="e">
        <f t="shared" si="3"/>
        <v>#N/A</v>
      </c>
      <c r="I27" s="236" t="e">
        <f t="shared" si="4"/>
        <v>#N/A</v>
      </c>
      <c r="J27" s="239"/>
      <c r="K27" s="240"/>
      <c r="L27" s="236"/>
      <c r="M27" s="236"/>
      <c r="N27" s="237"/>
      <c r="O27" s="238"/>
      <c r="P27" s="239"/>
      <c r="Q27" s="235"/>
      <c r="R27" s="236"/>
      <c r="S27" s="236"/>
      <c r="T27" s="237"/>
      <c r="U27" s="238"/>
      <c r="V27" s="239"/>
      <c r="W27" s="235"/>
      <c r="X27" s="236"/>
      <c r="Y27" s="236"/>
      <c r="Z27" s="237"/>
      <c r="AA27" s="238"/>
      <c r="AB27" s="239"/>
      <c r="AC27" s="241"/>
      <c r="AD27" s="242" t="e">
        <f t="shared" si="5"/>
        <v>#N/A</v>
      </c>
      <c r="AE27" s="237" t="e">
        <f t="shared" si="6"/>
        <v>#N/A</v>
      </c>
      <c r="AG27" s="287"/>
      <c r="AH27" s="288">
        <v>16</v>
      </c>
      <c r="AI27" s="288"/>
      <c r="AJ27" s="289"/>
      <c r="AK27" s="290"/>
      <c r="AL27" s="291"/>
    </row>
    <row r="28" spans="2:38" ht="22.5" customHeight="1" x14ac:dyDescent="0.25">
      <c r="B28" s="45">
        <v>17</v>
      </c>
      <c r="C28" s="234" t="s">
        <v>501</v>
      </c>
      <c r="D28" s="286" t="str">
        <f t="shared" si="0"/>
        <v>THÜRINGER RADSPORT VERBAND</v>
      </c>
      <c r="E28" s="235"/>
      <c r="F28" s="236" t="e">
        <f t="shared" si="1"/>
        <v>#N/A</v>
      </c>
      <c r="G28" s="236" t="e">
        <f t="shared" si="2"/>
        <v>#N/A</v>
      </c>
      <c r="H28" s="236" t="e">
        <f t="shared" si="3"/>
        <v>#N/A</v>
      </c>
      <c r="I28" s="236" t="e">
        <f t="shared" si="4"/>
        <v>#N/A</v>
      </c>
      <c r="J28" s="239"/>
      <c r="K28" s="240"/>
      <c r="L28" s="236"/>
      <c r="M28" s="236"/>
      <c r="N28" s="237"/>
      <c r="O28" s="238"/>
      <c r="P28" s="239"/>
      <c r="Q28" s="235"/>
      <c r="R28" s="236"/>
      <c r="S28" s="236"/>
      <c r="T28" s="237"/>
      <c r="U28" s="238"/>
      <c r="V28" s="239"/>
      <c r="W28" s="235"/>
      <c r="X28" s="236"/>
      <c r="Y28" s="236"/>
      <c r="Z28" s="237"/>
      <c r="AA28" s="238"/>
      <c r="AB28" s="239"/>
      <c r="AC28" s="241"/>
      <c r="AD28" s="242" t="e">
        <f t="shared" si="5"/>
        <v>#N/A</v>
      </c>
      <c r="AE28" s="237" t="e">
        <f t="shared" si="6"/>
        <v>#N/A</v>
      </c>
      <c r="AG28" s="287"/>
      <c r="AH28" s="288">
        <v>17</v>
      </c>
      <c r="AI28" s="288"/>
      <c r="AJ28" s="289"/>
      <c r="AK28" s="290"/>
      <c r="AL28" s="291"/>
    </row>
    <row r="29" spans="2:38" ht="22.5" customHeight="1" x14ac:dyDescent="0.25">
      <c r="B29" s="45">
        <v>18</v>
      </c>
      <c r="C29" s="234" t="s">
        <v>258</v>
      </c>
      <c r="D29" s="286" t="str">
        <f t="shared" si="0"/>
        <v>WAC TEAM HOBOKEN</v>
      </c>
      <c r="E29" s="235"/>
      <c r="F29" s="236" t="e">
        <f t="shared" si="1"/>
        <v>#N/A</v>
      </c>
      <c r="G29" s="236" t="e">
        <f t="shared" si="2"/>
        <v>#N/A</v>
      </c>
      <c r="H29" s="236" t="e">
        <f t="shared" si="3"/>
        <v>#N/A</v>
      </c>
      <c r="I29" s="236" t="e">
        <f t="shared" si="4"/>
        <v>#N/A</v>
      </c>
      <c r="J29" s="239"/>
      <c r="K29" s="240"/>
      <c r="L29" s="236"/>
      <c r="M29" s="236"/>
      <c r="N29" s="237"/>
      <c r="O29" s="238"/>
      <c r="P29" s="239"/>
      <c r="Q29" s="235"/>
      <c r="R29" s="236"/>
      <c r="S29" s="236"/>
      <c r="T29" s="237"/>
      <c r="U29" s="238"/>
      <c r="V29" s="239"/>
      <c r="W29" s="235"/>
      <c r="X29" s="236"/>
      <c r="Y29" s="236"/>
      <c r="Z29" s="237"/>
      <c r="AA29" s="238"/>
      <c r="AB29" s="239"/>
      <c r="AC29" s="241"/>
      <c r="AD29" s="242" t="e">
        <f t="shared" si="5"/>
        <v>#N/A</v>
      </c>
      <c r="AE29" s="237" t="e">
        <f t="shared" si="6"/>
        <v>#N/A</v>
      </c>
      <c r="AG29" s="287"/>
      <c r="AH29" s="288">
        <v>18</v>
      </c>
      <c r="AI29" s="288"/>
      <c r="AJ29" s="289"/>
      <c r="AK29" s="290"/>
      <c r="AL29" s="291"/>
    </row>
    <row r="30" spans="2:38" ht="14.4" x14ac:dyDescent="0.25"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</row>
    <row r="32" spans="2:38" ht="6" customHeight="1" x14ac:dyDescent="0.25"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</row>
    <row r="33" spans="2:31" x14ac:dyDescent="0.25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</row>
    <row r="34" spans="2:31" x14ac:dyDescent="0.25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spans="2:31" x14ac:dyDescent="0.25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</row>
    <row r="36" spans="2:31" x14ac:dyDescent="0.25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</row>
    <row r="37" spans="2:31" x14ac:dyDescent="0.25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  <row r="38" spans="2:31" x14ac:dyDescent="0.25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</row>
    <row r="39" spans="2:31" x14ac:dyDescent="0.25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</row>
    <row r="40" spans="2:31" x14ac:dyDescent="0.25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</row>
    <row r="41" spans="2:31" x14ac:dyDescent="0.25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</row>
    <row r="42" spans="2:31" x14ac:dyDescent="0.25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</row>
    <row r="43" spans="2:31" x14ac:dyDescent="0.25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</row>
    <row r="44" spans="2:31" x14ac:dyDescent="0.25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</row>
    <row r="45" spans="2:31" x14ac:dyDescent="0.25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</row>
    <row r="46" spans="2:31" x14ac:dyDescent="0.25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</row>
    <row r="47" spans="2:31" ht="6" customHeight="1" x14ac:dyDescent="0.25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</row>
    <row r="48" spans="2:31" ht="11.4" customHeight="1" x14ac:dyDescent="0.25">
      <c r="B48" s="335" t="s">
        <v>40</v>
      </c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</row>
    <row r="49" spans="3:31" x14ac:dyDescent="0.3">
      <c r="C49" s="3"/>
      <c r="D49" s="36"/>
      <c r="AD49" s="18"/>
      <c r="AE49" s="18"/>
    </row>
    <row r="50" spans="3:31" x14ac:dyDescent="0.3">
      <c r="C50" s="3"/>
      <c r="D50" s="36"/>
      <c r="AD50" s="18"/>
      <c r="AE50" s="18"/>
    </row>
    <row r="51" spans="3:31" x14ac:dyDescent="0.3">
      <c r="C51" s="3"/>
      <c r="D51" s="36"/>
      <c r="AD51" s="18"/>
      <c r="AE51" s="18"/>
    </row>
  </sheetData>
  <sortState ref="C12:AE13">
    <sortCondition descending="1" ref="C12"/>
  </sortState>
  <mergeCells count="11">
    <mergeCell ref="AH7:AK7"/>
    <mergeCell ref="B10:AE10"/>
    <mergeCell ref="B48:AE48"/>
    <mergeCell ref="B1:AE1"/>
    <mergeCell ref="B2:AE2"/>
    <mergeCell ref="D3:AC3"/>
    <mergeCell ref="B5:AE5"/>
    <mergeCell ref="F7:I7"/>
    <mergeCell ref="L7:O7"/>
    <mergeCell ref="R7:U7"/>
    <mergeCell ref="X7:AA7"/>
  </mergeCells>
  <pageMargins left="0.43307086614173229" right="0.35433070866141736" top="0.39370078740157483" bottom="0.31496062992125984" header="0.23622047244094491" footer="0.19685039370078741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54</vt:i4>
      </vt:variant>
    </vt:vector>
  </HeadingPairs>
  <TitlesOfParts>
    <vt:vector size="65" baseType="lpstr">
      <vt:lpstr>CTRL</vt:lpstr>
      <vt:lpstr>SL0</vt:lpstr>
      <vt:lpstr>SLT</vt:lpstr>
      <vt:lpstr>SL2</vt:lpstr>
      <vt:lpstr>PA1</vt:lpstr>
      <vt:lpstr>ET1</vt:lpstr>
      <vt:lpstr>AE1</vt:lpstr>
      <vt:lpstr>PR1</vt:lpstr>
      <vt:lpstr>GC1</vt:lpstr>
      <vt:lpstr>RE1</vt:lpstr>
      <vt:lpstr>Payroll</vt:lpstr>
      <vt:lpstr>AFTER1</vt:lpstr>
      <vt:lpstr>BODO1</vt:lpstr>
      <vt:lpstr>DATUM1</vt:lpstr>
      <vt:lpstr>DATUM2</vt:lpstr>
      <vt:lpstr>DATUM3</vt:lpstr>
      <vt:lpstr>DATUM4</vt:lpstr>
      <vt:lpstr>DATUMVSE</vt:lpstr>
      <vt:lpstr>ETAP1</vt:lpstr>
      <vt:lpstr>ETAP2</vt:lpstr>
      <vt:lpstr>ETAP3</vt:lpstr>
      <vt:lpstr>ETAP4</vt:lpstr>
      <vt:lpstr>ETAPCELK</vt:lpstr>
      <vt:lpstr>MECH1</vt:lpstr>
      <vt:lpstr>MECH2</vt:lpstr>
      <vt:lpstr>MECH3</vt:lpstr>
      <vt:lpstr>MECH4</vt:lpstr>
      <vt:lpstr>MISTO</vt:lpstr>
      <vt:lpstr>MISTO1</vt:lpstr>
      <vt:lpstr>MISTO2</vt:lpstr>
      <vt:lpstr>MISTO3</vt:lpstr>
      <vt:lpstr>MISTO4</vt:lpstr>
      <vt:lpstr>MLADY</vt:lpstr>
      <vt:lpstr>NAZE1</vt:lpstr>
      <vt:lpstr>NAZE2</vt:lpstr>
      <vt:lpstr>NAZE3</vt:lpstr>
      <vt:lpstr>NAZE4</vt:lpstr>
      <vt:lpstr>NAZEV</vt:lpstr>
      <vt:lpstr>NOOFLISTS</vt:lpstr>
      <vt:lpstr>NOSI2</vt:lpstr>
      <vt:lpstr>NOSI3</vt:lpstr>
      <vt:lpstr>NOSI4</vt:lpstr>
      <vt:lpstr>NOSIC</vt:lpstr>
      <vt:lpstr>NRIDERS1</vt:lpstr>
      <vt:lpstr>NRIDERS2</vt:lpstr>
      <vt:lpstr>NRIDERS3</vt:lpstr>
      <vt:lpstr>NRIDERS4</vt:lpstr>
      <vt:lpstr>ODDIL</vt:lpstr>
      <vt:lpstr>PODTITUL</vt:lpstr>
      <vt:lpstr>POET1</vt:lpstr>
      <vt:lpstr>POET2</vt:lpstr>
      <vt:lpstr>POET3</vt:lpstr>
      <vt:lpstr>POET4</vt:lpstr>
      <vt:lpstr>POETAP1</vt:lpstr>
      <vt:lpstr>POETAP2</vt:lpstr>
      <vt:lpstr>POETAP3</vt:lpstr>
      <vt:lpstr>POETAP4</vt:lpstr>
      <vt:lpstr>ROK</vt:lpstr>
      <vt:lpstr>SLIST</vt:lpstr>
      <vt:lpstr>SPRINT</vt:lpstr>
      <vt:lpstr>STARTOVKA</vt:lpstr>
      <vt:lpstr>VLIST</vt:lpstr>
      <vt:lpstr>VRCHAR</vt:lpstr>
      <vt:lpstr>ZLUTY</vt:lpstr>
      <vt:lpstr>ZLUTYDESC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worech</dc:creator>
  <cp:lastModifiedBy>Rufer, Filip</cp:lastModifiedBy>
  <cp:lastPrinted>2015-08-07T19:02:24Z</cp:lastPrinted>
  <dcterms:created xsi:type="dcterms:W3CDTF">2008-03-30T08:35:24Z</dcterms:created>
  <dcterms:modified xsi:type="dcterms:W3CDTF">2015-08-07T19:02:29Z</dcterms:modified>
</cp:coreProperties>
</file>